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9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ucomm$/CESpubs/Publications In Production/3 Ready to Typeset /Z##_Pilja2/"/>
    </mc:Choice>
  </mc:AlternateContent>
  <xr:revisionPtr revIDLastSave="0" documentId="13_ncr:1_{E4B9080C-9512-8045-9D6E-EE4AA2F2EFDF}" xr6:coauthVersionLast="47" xr6:coauthVersionMax="47" xr10:uidLastSave="{00000000-0000-0000-0000-000000000000}"/>
  <bookViews>
    <workbookView xWindow="0" yWindow="0" windowWidth="51200" windowHeight="28800" tabRatio="886" xr2:uid="{00000000-000D-0000-FFFF-FFFF00000000}"/>
  </bookViews>
  <sheets>
    <sheet name="SE L" sheetId="7" r:id="rId1"/>
    <sheet name="SE L INV" sheetId="8" r:id="rId2"/>
  </sheets>
  <definedNames>
    <definedName name="_2._Hired_labor">'SE L'!$K$29:$P$35</definedName>
    <definedName name="_Order1" localSheetId="1" hidden="1">255</definedName>
    <definedName name="_Order1" hidden="1">0</definedName>
    <definedName name="_Order2" localSheetId="1" hidden="1">255</definedName>
    <definedName name="_Order2" hidden="1">0</definedName>
    <definedName name="_xlnm.Print_Area" localSheetId="0">'SE L'!$A$1:$H$99</definedName>
    <definedName name="_xlnm.Print_Area" localSheetId="1">'SE L INV'!$A$1:$K$45</definedName>
    <definedName name="PRINT_INPUTFORM">#REF!</definedName>
    <definedName name="PRINT_RESUL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7" l="1"/>
  <c r="H40" i="7"/>
  <c r="H39" i="7"/>
  <c r="P17" i="8"/>
  <c r="S28" i="8"/>
  <c r="S25" i="8"/>
  <c r="S26" i="8"/>
  <c r="S27" i="8"/>
  <c r="S24" i="8"/>
  <c r="S22" i="8"/>
  <c r="S21" i="8"/>
  <c r="S20" i="8"/>
  <c r="H14" i="7"/>
  <c r="L23" i="7"/>
  <c r="N23" i="7" s="1"/>
  <c r="N45" i="7"/>
  <c r="P32" i="7"/>
  <c r="P35" i="7" s="1"/>
  <c r="H36" i="7" s="1"/>
  <c r="H22" i="7" l="1"/>
  <c r="H13" i="7"/>
  <c r="E24" i="7"/>
  <c r="E23" i="7"/>
  <c r="C4" i="7" l="1"/>
  <c r="L21" i="7" s="1"/>
  <c r="N21" i="7" s="1"/>
  <c r="D27" i="7" l="1"/>
  <c r="D28" i="7"/>
  <c r="H28" i="7" s="1"/>
  <c r="C12" i="7"/>
  <c r="H12" i="7" s="1"/>
  <c r="G41" i="7"/>
  <c r="C10" i="7"/>
  <c r="H10" i="7" s="1"/>
  <c r="G14" i="7"/>
  <c r="D34" i="8"/>
  <c r="D33" i="8"/>
  <c r="D29" i="8"/>
  <c r="D28" i="8"/>
  <c r="D21" i="8"/>
  <c r="D22" i="8"/>
  <c r="D23" i="8"/>
  <c r="D24" i="8"/>
  <c r="D20" i="8"/>
  <c r="F13" i="7"/>
  <c r="F22" i="7"/>
  <c r="F25" i="7"/>
  <c r="G25" i="7" s="1"/>
  <c r="F26" i="7"/>
  <c r="G26" i="7" s="1"/>
  <c r="G36" i="7"/>
  <c r="G39" i="7"/>
  <c r="E11" i="8"/>
  <c r="F11" i="8" s="1"/>
  <c r="K11" i="8" s="1"/>
  <c r="E12" i="8"/>
  <c r="E13" i="8"/>
  <c r="F13" i="8" s="1"/>
  <c r="E14" i="8"/>
  <c r="F14" i="8"/>
  <c r="K14" i="8" s="1"/>
  <c r="E15" i="8"/>
  <c r="F15" i="8" s="1"/>
  <c r="K15" i="8" s="1"/>
  <c r="E19" i="8"/>
  <c r="E20" i="8"/>
  <c r="F20" i="8" s="1"/>
  <c r="E21" i="8"/>
  <c r="F21" i="8" s="1"/>
  <c r="E22" i="8"/>
  <c r="E23" i="8"/>
  <c r="F23" i="8" s="1"/>
  <c r="E24" i="8"/>
  <c r="F24" i="8" s="1"/>
  <c r="E28" i="8"/>
  <c r="F28" i="8" s="1"/>
  <c r="E6" i="8"/>
  <c r="E7" i="8"/>
  <c r="F7" i="8" s="1"/>
  <c r="H31" i="8"/>
  <c r="I31" i="8"/>
  <c r="K20" i="8" l="1"/>
  <c r="K21" i="8"/>
  <c r="F27" i="7"/>
  <c r="G27" i="7" s="1"/>
  <c r="H27" i="7"/>
  <c r="K28" i="8"/>
  <c r="K24" i="8"/>
  <c r="E9" i="8"/>
  <c r="G43" i="7"/>
  <c r="G64" i="7"/>
  <c r="F24" i="7"/>
  <c r="G24" i="7" s="1"/>
  <c r="G13" i="7"/>
  <c r="F23" i="7"/>
  <c r="G23" i="7" s="1"/>
  <c r="A33" i="8"/>
  <c r="G40" i="7"/>
  <c r="G5" i="7"/>
  <c r="E17" i="8"/>
  <c r="K23" i="8"/>
  <c r="F28" i="7"/>
  <c r="G28" i="7" s="1"/>
  <c r="E26" i="8"/>
  <c r="F19" i="8"/>
  <c r="K19" i="8" s="1"/>
  <c r="F10" i="7"/>
  <c r="F6" i="8"/>
  <c r="F22" i="8"/>
  <c r="K22" i="8" s="1"/>
  <c r="K13" i="8"/>
  <c r="F12" i="8"/>
  <c r="K12" i="8" s="1"/>
  <c r="F12" i="7"/>
  <c r="G12" i="7" s="1"/>
  <c r="G22" i="7"/>
  <c r="C11" i="7" l="1"/>
  <c r="L24" i="7"/>
  <c r="N24" i="7" s="1"/>
  <c r="A29" i="8"/>
  <c r="E33" i="8"/>
  <c r="F33" i="8" s="1"/>
  <c r="F11" i="7"/>
  <c r="H11" i="7"/>
  <c r="H16" i="7" s="1"/>
  <c r="F42" i="7"/>
  <c r="G42" i="7" s="1"/>
  <c r="F31" i="7"/>
  <c r="A34" i="8"/>
  <c r="G31" i="7"/>
  <c r="K17" i="8"/>
  <c r="K26" i="8"/>
  <c r="F63" i="7" s="1"/>
  <c r="G10" i="7"/>
  <c r="F16" i="7"/>
  <c r="F70" i="7"/>
  <c r="G70" i="7" s="1"/>
  <c r="C16" i="7"/>
  <c r="G11" i="7"/>
  <c r="A30" i="8" l="1"/>
  <c r="L22" i="7"/>
  <c r="N22" i="7" s="1"/>
  <c r="N26" i="7" s="1"/>
  <c r="F35" i="7"/>
  <c r="D35" i="7"/>
  <c r="H35" i="7" s="1"/>
  <c r="D34" i="7"/>
  <c r="H34" i="7" s="1"/>
  <c r="E29" i="8"/>
  <c r="F29" i="8" s="1"/>
  <c r="K29" i="8" s="1"/>
  <c r="K31" i="8" s="1"/>
  <c r="F68" i="7" s="1"/>
  <c r="G68" i="7" s="1"/>
  <c r="F34" i="7"/>
  <c r="G34" i="7" s="1"/>
  <c r="K33" i="8"/>
  <c r="A35" i="8"/>
  <c r="E34" i="8"/>
  <c r="F69" i="7"/>
  <c r="G69" i="7" s="1"/>
  <c r="G35" i="7"/>
  <c r="F72" i="7"/>
  <c r="G72" i="7" s="1"/>
  <c r="G16" i="7"/>
  <c r="F65" i="7"/>
  <c r="G63" i="7"/>
  <c r="E31" i="8" l="1"/>
  <c r="H26" i="7"/>
  <c r="H24" i="7"/>
  <c r="H25" i="7"/>
  <c r="H23" i="7"/>
  <c r="G45" i="7"/>
  <c r="F45" i="7"/>
  <c r="F53" i="7" s="1"/>
  <c r="G53" i="7" s="1"/>
  <c r="F34" i="8"/>
  <c r="E36" i="8"/>
  <c r="G65" i="7"/>
  <c r="E38" i="8" l="1"/>
  <c r="H31" i="7"/>
  <c r="K34" i="8"/>
  <c r="K36" i="8" s="1"/>
  <c r="F36" i="8"/>
  <c r="F55" i="7"/>
  <c r="F71" i="7" l="1"/>
  <c r="K38" i="8"/>
  <c r="C89" i="7"/>
  <c r="C91" i="7"/>
  <c r="G55" i="7"/>
  <c r="F57" i="7"/>
  <c r="G57" i="7" s="1"/>
  <c r="F77" i="7"/>
  <c r="G71" i="7" l="1"/>
  <c r="F73" i="7"/>
  <c r="G77" i="7"/>
  <c r="D89" i="7"/>
  <c r="F81" i="7"/>
  <c r="G81" i="7" s="1"/>
  <c r="G73" i="7" l="1"/>
  <c r="F75" i="7"/>
  <c r="G75" i="7" l="1"/>
  <c r="F79" i="7"/>
  <c r="D91" i="7" l="1"/>
  <c r="F83" i="7"/>
  <c r="G83" i="7" s="1"/>
  <c r="G79" i="7"/>
</calcChain>
</file>

<file path=xl/sharedStrings.xml><?xml version="1.0" encoding="utf-8"?>
<sst xmlns="http://schemas.openxmlformats.org/spreadsheetml/2006/main" count="220" uniqueCount="164">
  <si>
    <t>BREED HERD SIZE</t>
  </si>
  <si>
    <t>CULL RATE</t>
  </si>
  <si>
    <t>VALUE OF PRODUCTION</t>
  </si>
  <si>
    <t>QUANTITY</t>
  </si>
  <si>
    <t>PRICE</t>
  </si>
  <si>
    <t>VALUE</t>
  </si>
  <si>
    <t>NEW VALUE</t>
  </si>
  <si>
    <t>STEER CALVES</t>
  </si>
  <si>
    <t>HEIFER CALVES</t>
  </si>
  <si>
    <t>CULL COWS</t>
  </si>
  <si>
    <t>CULL BULLS</t>
  </si>
  <si>
    <t xml:space="preserve"> </t>
  </si>
  <si>
    <t>VARIABLE COSTS</t>
  </si>
  <si>
    <t>1. FEED COSTS</t>
  </si>
  <si>
    <t>UNITS</t>
  </si>
  <si>
    <t>COST</t>
  </si>
  <si>
    <t>HAY</t>
  </si>
  <si>
    <t>TON</t>
  </si>
  <si>
    <t>STATE</t>
  </si>
  <si>
    <t>SALT &amp; MINERAL</t>
  </si>
  <si>
    <t>PROTEIN SUPP</t>
  </si>
  <si>
    <t>2. OTHER VARIABLE COSTS</t>
  </si>
  <si>
    <t>VET AND MEDICINE</t>
  </si>
  <si>
    <t>LIVESTOCK HAULING</t>
  </si>
  <si>
    <t>HIRED LABOR</t>
  </si>
  <si>
    <t>OPERATING COSTS-VEHICLE</t>
  </si>
  <si>
    <t>3.  INTEREST ON VARIABLE COSTS</t>
  </si>
  <si>
    <t>SUM OF VARIABLE COSTS X MONTHS BORROWED</t>
  </si>
  <si>
    <t>X INTEREST RATE PER MONTH</t>
  </si>
  <si>
    <t>ANNUAL INTEREST RATE</t>
  </si>
  <si>
    <t>NUMBER OF MONTHS BORROWED</t>
  </si>
  <si>
    <t>OWNERSHIP COSTS</t>
  </si>
  <si>
    <t>Purchased Livestock</t>
  </si>
  <si>
    <t>Housing &amp; Improvements</t>
  </si>
  <si>
    <t>Machinery &amp; Equipment</t>
  </si>
  <si>
    <t>Taxes &amp; Insurance</t>
  </si>
  <si>
    <t>Overhead</t>
  </si>
  <si>
    <t>BREAKEVEN CALCULATIONS</t>
  </si>
  <si>
    <t>COSTS</t>
  </si>
  <si>
    <t>10 Yr Avg</t>
  </si>
  <si>
    <t>Purchase</t>
  </si>
  <si>
    <t xml:space="preserve">Salvage/Cull </t>
  </si>
  <si>
    <t>Useful</t>
  </si>
  <si>
    <t>Annual Capital</t>
  </si>
  <si>
    <t>Number</t>
  </si>
  <si>
    <t>Buildings, Improvements</t>
  </si>
  <si>
    <t>Price Per Unit</t>
  </si>
  <si>
    <t>Rate of Return</t>
  </si>
  <si>
    <t xml:space="preserve"> Price</t>
  </si>
  <si>
    <t>Value</t>
  </si>
  <si>
    <t>Life</t>
  </si>
  <si>
    <t>Recovery</t>
  </si>
  <si>
    <t>Acres of private land</t>
  </si>
  <si>
    <t>Miles of pipeline</t>
  </si>
  <si>
    <t>Wells</t>
  </si>
  <si>
    <t>Miles of Fence</t>
  </si>
  <si>
    <t>Corrals/Working Facilities</t>
  </si>
  <si>
    <t>Barns &amp; Shop</t>
  </si>
  <si>
    <t>Sub Totals</t>
  </si>
  <si>
    <t>Machinery &amp; Vehicles</t>
  </si>
  <si>
    <t>Interest Rate</t>
  </si>
  <si>
    <t>3/4 ton pickup 4WD</t>
  </si>
  <si>
    <t>Dozer/Tractor</t>
  </si>
  <si>
    <t>Gooseneck trailer</t>
  </si>
  <si>
    <t>Horse tack</t>
  </si>
  <si>
    <t>Misc. equipment</t>
  </si>
  <si>
    <t>Sub Total</t>
  </si>
  <si>
    <t>Head</t>
  </si>
  <si>
    <t>Horses</t>
  </si>
  <si>
    <t>Bulls</t>
  </si>
  <si>
    <t>Cows</t>
  </si>
  <si>
    <t>Replacement Heifers</t>
  </si>
  <si>
    <t>Total</t>
  </si>
  <si>
    <t>OPERATING COSTS-EQUIP &amp; MACH</t>
  </si>
  <si>
    <t>AUY</t>
  </si>
  <si>
    <t>QUANTITY/PERCENT</t>
  </si>
  <si>
    <t>Livestock</t>
  </si>
  <si>
    <t>Share</t>
  </si>
  <si>
    <t>Retained Livestock</t>
  </si>
  <si>
    <t>Total AUYs</t>
  </si>
  <si>
    <t>Land Values</t>
  </si>
  <si>
    <t>CASH COSTS</t>
  </si>
  <si>
    <t>NON CASH COSTS</t>
  </si>
  <si>
    <t>REQUIRED AVG. CALF PRICES CASH COST (cwt)</t>
  </si>
  <si>
    <t>REQUIRED AVG. CALF PRICES TOTAL COSTS(cwt)</t>
  </si>
  <si>
    <t>Interest on Investment</t>
  </si>
  <si>
    <t>VALUE PER COW</t>
  </si>
  <si>
    <t>WEIGHT</t>
  </si>
  <si>
    <t xml:space="preserve">Management &amp; Operation Labor ( 6% of gross returns) </t>
  </si>
  <si>
    <t>PRIVATE(Leased Grazing)</t>
  </si>
  <si>
    <t>PRIVATE(Owned)</t>
  </si>
  <si>
    <r>
      <t>AU Values</t>
    </r>
    <r>
      <rPr>
        <vertAlign val="superscript"/>
        <sz val="11"/>
        <rFont val="Arial"/>
        <family val="2"/>
      </rPr>
      <t>1</t>
    </r>
  </si>
  <si>
    <r>
      <t>Interest Rate</t>
    </r>
    <r>
      <rPr>
        <vertAlign val="superscript"/>
        <sz val="11"/>
        <rFont val="Arial"/>
        <family val="2"/>
      </rPr>
      <t>3</t>
    </r>
  </si>
  <si>
    <r>
      <t>Represents 65% Asset Ownership</t>
    </r>
    <r>
      <rPr>
        <vertAlign val="superscript"/>
        <sz val="10"/>
        <color indexed="8"/>
        <rFont val="Arial Narrow"/>
        <family val="2"/>
      </rPr>
      <t>5</t>
    </r>
  </si>
  <si>
    <t>4) Annual capital recovery is the method of calculating depreciation and interest recommended by the National Task Force on Commodity Costs and Returns Measurement Methods.</t>
  </si>
  <si>
    <t>5) The 35% reduction in asset values which represent a mix of new and used machinery.</t>
  </si>
  <si>
    <t>6) Interest on average investment.</t>
  </si>
  <si>
    <r>
      <t>CALF CROP PERCENT</t>
    </r>
    <r>
      <rPr>
        <b/>
        <vertAlign val="superscript"/>
        <sz val="10"/>
        <color indexed="8"/>
        <rFont val="Arial Narrow"/>
        <family val="2"/>
      </rPr>
      <t>1</t>
    </r>
  </si>
  <si>
    <r>
      <t>Interest on Retained Livestock</t>
    </r>
    <r>
      <rPr>
        <b/>
        <vertAlign val="superscript"/>
        <sz val="10"/>
        <color indexed="8"/>
        <rFont val="Arial Narrow"/>
        <family val="2"/>
      </rPr>
      <t>6</t>
    </r>
  </si>
  <si>
    <t>SOUTHEAST REGION</t>
  </si>
  <si>
    <t>TOTAL FIXED COSTS</t>
  </si>
  <si>
    <t>TOTAL CASH AND VARIABLE COSTS</t>
  </si>
  <si>
    <t>TOTAL COSTS</t>
  </si>
  <si>
    <t>RETURN ABOVE TOTAL CASH COSTS</t>
  </si>
  <si>
    <t>RETURN ABOVE TOTAL COSTS</t>
  </si>
  <si>
    <t>FEDERAL LEASE</t>
  </si>
  <si>
    <t>1 ton pickup 4WD</t>
  </si>
  <si>
    <t xml:space="preserve">    production assets for New Mexico.</t>
  </si>
  <si>
    <t>LARGE RANCH INVESTMENTS</t>
  </si>
  <si>
    <t>VARIABLE</t>
  </si>
  <si>
    <t xml:space="preserve">TOTAL </t>
  </si>
  <si>
    <t xml:space="preserve">1) Calf crop is defined as the actual number of calves sold divided, by the total number of cows (assuming  all cows were exposed). </t>
  </si>
  <si>
    <t>3) Market prices include commissions, brand inspections, beef council, yardage, feed, and insurance</t>
  </si>
  <si>
    <t>COW to BULL</t>
  </si>
  <si>
    <t>REPLACEMENT  HEIFER'S KEPT</t>
  </si>
  <si>
    <t>TOTAL</t>
  </si>
  <si>
    <r>
      <t>PRICE</t>
    </r>
    <r>
      <rPr>
        <b/>
        <u/>
        <vertAlign val="superscript"/>
        <sz val="10"/>
        <color indexed="8"/>
        <rFont val="Arial Narrow"/>
        <family val="2"/>
      </rPr>
      <t>2</t>
    </r>
  </si>
  <si>
    <t xml:space="preserve">1) The interest rate of 3.9% used to calculate the capital recovery cost is the USDA-ERS's ten year average long-run rate of return to </t>
  </si>
  <si>
    <t>LIVESTOCK PURCHASES</t>
  </si>
  <si>
    <t xml:space="preserve">        Total</t>
  </si>
  <si>
    <t>FEE HUNTING</t>
  </si>
  <si>
    <t>2) Prices represent 2019 price projections from Cattle Fax, Doanes reports for New Mexico feeder cattle cash prices.</t>
  </si>
  <si>
    <t>* yellow highlits cell need to change for new values</t>
  </si>
  <si>
    <t>* Brown highlits cells are automatically calculated.</t>
  </si>
  <si>
    <t xml:space="preserve">Cow </t>
  </si>
  <si>
    <t>Bull</t>
  </si>
  <si>
    <t>Horse</t>
  </si>
  <si>
    <t>Heifers</t>
  </si>
  <si>
    <t xml:space="preserve">number </t>
  </si>
  <si>
    <t>required parameter</t>
  </si>
  <si>
    <t>required AUY</t>
  </si>
  <si>
    <t>total AUY</t>
  </si>
  <si>
    <t>1. calcuation of total AUY required</t>
  </si>
  <si>
    <t>operation</t>
  </si>
  <si>
    <t>hours</t>
  </si>
  <si>
    <t>wage/hour</t>
  </si>
  <si>
    <t>total</t>
  </si>
  <si>
    <t>part time</t>
  </si>
  <si>
    <t>Hourly</t>
  </si>
  <si>
    <t>full time(monthly)</t>
  </si>
  <si>
    <t>times</t>
  </si>
  <si>
    <t>RANCH MAINTENANCE(repairs)</t>
  </si>
  <si>
    <t>number</t>
  </si>
  <si>
    <t>price</t>
  </si>
  <si>
    <t>horses</t>
  </si>
  <si>
    <t>heifers</t>
  </si>
  <si>
    <t>cows</t>
  </si>
  <si>
    <r>
      <t>Annual Capital Recovery</t>
    </r>
    <r>
      <rPr>
        <b/>
        <vertAlign val="superscript"/>
        <sz val="10"/>
        <color indexed="8"/>
        <rFont val="Arial Narrow"/>
        <family val="2"/>
      </rPr>
      <t>4</t>
    </r>
    <r>
      <rPr>
        <b/>
        <sz val="10"/>
        <color indexed="8"/>
        <rFont val="Arial Narrow"/>
        <family val="2"/>
      </rPr>
      <t xml:space="preserve"> (At Replacement Value):</t>
    </r>
  </si>
  <si>
    <t>LARGE COW/CALF BUDGET 2024</t>
  </si>
  <si>
    <t>Go Back Original Sheet</t>
  </si>
  <si>
    <t>Go To Ranch Investment Table</t>
  </si>
  <si>
    <t>employee benefit</t>
  </si>
  <si>
    <t>Employee insurance</t>
  </si>
  <si>
    <t>Calculation</t>
  </si>
  <si>
    <t>2. Livestock Purchases</t>
  </si>
  <si>
    <t>3. Hired labor</t>
  </si>
  <si>
    <t>Repair</t>
  </si>
  <si>
    <t>Fuel</t>
  </si>
  <si>
    <t>Lube</t>
  </si>
  <si>
    <t>Vehicle</t>
  </si>
  <si>
    <t>Machinery</t>
  </si>
  <si>
    <t>1. calculating operating cost -buidlings</t>
  </si>
  <si>
    <t>2. caluating operating cost-vehicles and Machinery</t>
  </si>
  <si>
    <t>MARKETING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</si>
</sst>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&quot;$&quot;#,##0.00"/>
    <numFmt numFmtId="166" formatCode="0.0%"/>
    <numFmt numFmtId="167" formatCode="&quot;$&quot;#,##0"/>
    <numFmt numFmtId="168" formatCode="#.00"/>
  </numFmts>
  <fonts count="30">
    <font>
      <sz val="10"/>
      <name val="Helv"/>
    </font>
    <font>
      <sz val="11"/>
      <name val="Times New Roman"/>
      <family val="1"/>
    </font>
    <font>
      <sz val="1"/>
      <color indexed="8"/>
      <name val="Courier"/>
      <family val="3"/>
    </font>
    <font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2"/>
      <color indexed="8"/>
      <name val="Arial Narrow"/>
      <family val="2"/>
    </font>
    <font>
      <sz val="10"/>
      <color indexed="8"/>
      <name val="Helv"/>
    </font>
    <font>
      <b/>
      <vertAlign val="superscript"/>
      <sz val="10"/>
      <color indexed="8"/>
      <name val="Arial Narrow"/>
      <family val="2"/>
    </font>
    <font>
      <b/>
      <sz val="10"/>
      <name val="Arial Narrow"/>
      <family val="2"/>
    </font>
    <font>
      <vertAlign val="superscript"/>
      <sz val="11"/>
      <name val="Arial"/>
      <family val="2"/>
    </font>
    <font>
      <vertAlign val="superscript"/>
      <sz val="10"/>
      <color indexed="8"/>
      <name val="Arial Narrow"/>
      <family val="2"/>
    </font>
    <font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 Narrow"/>
      <family val="2"/>
    </font>
    <font>
      <b/>
      <sz val="14"/>
      <name val="Arial Narrow"/>
      <family val="2"/>
    </font>
    <font>
      <b/>
      <u/>
      <sz val="10"/>
      <color indexed="8"/>
      <name val="Arial Narrow"/>
      <family val="2"/>
    </font>
    <font>
      <u/>
      <sz val="10"/>
      <color indexed="8"/>
      <name val="Arial Narrow"/>
      <family val="2"/>
    </font>
    <font>
      <b/>
      <u/>
      <vertAlign val="superscript"/>
      <sz val="10"/>
      <color indexed="8"/>
      <name val="Arial Narrow"/>
      <family val="2"/>
    </font>
    <font>
      <sz val="10"/>
      <name val="Helv"/>
    </font>
    <font>
      <u/>
      <sz val="10"/>
      <color theme="10"/>
      <name val="Helv"/>
    </font>
    <font>
      <b/>
      <u/>
      <sz val="10"/>
      <color theme="10"/>
      <name val="Helv"/>
    </font>
    <font>
      <u val="singleAccounting"/>
      <sz val="10"/>
      <name val="Helv"/>
    </font>
    <font>
      <b/>
      <i/>
      <u/>
      <sz val="11"/>
      <name val="Times New Roman"/>
      <family val="1"/>
    </font>
    <font>
      <b/>
      <i/>
      <sz val="11"/>
      <name val="Times New Roman"/>
      <family val="1"/>
    </font>
    <font>
      <sz val="11"/>
      <color rgb="FFFFFF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30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16">
    <xf numFmtId="0" fontId="0" fillId="0" borderId="0"/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8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1" fillId="0" borderId="0"/>
    <xf numFmtId="0" fontId="2" fillId="0" borderId="1">
      <protection locked="0"/>
    </xf>
    <xf numFmtId="43" fontId="23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44">
    <xf numFmtId="0" fontId="0" fillId="0" borderId="0" xfId="0"/>
    <xf numFmtId="0" fontId="5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Continuous"/>
      <protection locked="0"/>
    </xf>
    <xf numFmtId="0" fontId="7" fillId="0" borderId="0" xfId="0" applyFont="1"/>
    <xf numFmtId="0" fontId="4" fillId="2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2" borderId="2" xfId="0" applyFont="1" applyFill="1" applyBorder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5" fontId="5" fillId="2" borderId="0" xfId="0" applyNumberFormat="1" applyFont="1" applyFill="1" applyProtection="1">
      <protection locked="0"/>
    </xf>
    <xf numFmtId="0" fontId="4" fillId="3" borderId="0" xfId="0" applyFont="1" applyFill="1" applyProtection="1">
      <protection locked="0"/>
    </xf>
    <xf numFmtId="0" fontId="4" fillId="4" borderId="0" xfId="0" applyFont="1" applyFill="1" applyProtection="1">
      <protection locked="0"/>
    </xf>
    <xf numFmtId="0" fontId="5" fillId="4" borderId="0" xfId="0" applyFont="1" applyFill="1" applyProtection="1">
      <protection locked="0"/>
    </xf>
    <xf numFmtId="0" fontId="5" fillId="5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5" borderId="2" xfId="0" applyFont="1" applyFill="1" applyBorder="1" applyProtection="1">
      <protection locked="0"/>
    </xf>
    <xf numFmtId="0" fontId="5" fillId="4" borderId="2" xfId="0" applyFont="1" applyFill="1" applyBorder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0" borderId="0" xfId="0" applyFont="1"/>
    <xf numFmtId="5" fontId="5" fillId="2" borderId="0" xfId="0" applyNumberFormat="1" applyFont="1" applyFill="1" applyAlignment="1" applyProtection="1">
      <alignment horizontal="center"/>
      <protection locked="0"/>
    </xf>
    <xf numFmtId="5" fontId="4" fillId="2" borderId="0" xfId="0" applyNumberFormat="1" applyFont="1" applyFill="1" applyAlignment="1" applyProtection="1">
      <alignment horizontal="center"/>
      <protection locked="0"/>
    </xf>
    <xf numFmtId="5" fontId="5" fillId="4" borderId="0" xfId="0" applyNumberFormat="1" applyFont="1" applyFill="1" applyAlignment="1" applyProtection="1">
      <alignment horizontal="center"/>
      <protection locked="0"/>
    </xf>
    <xf numFmtId="7" fontId="5" fillId="4" borderId="0" xfId="0" applyNumberFormat="1" applyFont="1" applyFill="1" applyAlignment="1" applyProtection="1">
      <alignment horizontal="center"/>
      <protection locked="0"/>
    </xf>
    <xf numFmtId="5" fontId="5" fillId="4" borderId="5" xfId="0" applyNumberFormat="1" applyFont="1" applyFill="1" applyBorder="1" applyAlignment="1" applyProtection="1">
      <alignment horizontal="center"/>
      <protection locked="0"/>
    </xf>
    <xf numFmtId="7" fontId="5" fillId="4" borderId="5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5" fontId="9" fillId="0" borderId="0" xfId="0" applyNumberFormat="1" applyFont="1" applyAlignment="1">
      <alignment horizontal="center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 indent="2"/>
      <protection locked="0"/>
    </xf>
    <xf numFmtId="0" fontId="5" fillId="2" borderId="10" xfId="0" applyFont="1" applyFill="1" applyBorder="1" applyProtection="1">
      <protection locked="0"/>
    </xf>
    <xf numFmtId="0" fontId="3" fillId="0" borderId="0" xfId="0" applyFont="1"/>
    <xf numFmtId="0" fontId="12" fillId="0" borderId="0" xfId="0" applyFont="1"/>
    <xf numFmtId="0" fontId="20" fillId="2" borderId="0" xfId="0" applyFont="1" applyFill="1" applyAlignment="1" applyProtection="1">
      <alignment horizontal="center"/>
      <protection locked="0"/>
    </xf>
    <xf numFmtId="7" fontId="21" fillId="4" borderId="0" xfId="0" applyNumberFormat="1" applyFont="1" applyFill="1" applyAlignment="1" applyProtection="1">
      <alignment horizontal="center"/>
      <protection locked="0"/>
    </xf>
    <xf numFmtId="5" fontId="4" fillId="2" borderId="4" xfId="0" applyNumberFormat="1" applyFont="1" applyFill="1" applyBorder="1" applyAlignment="1" applyProtection="1">
      <alignment horizontal="center"/>
      <protection locked="0"/>
    </xf>
    <xf numFmtId="7" fontId="5" fillId="4" borderId="4" xfId="0" applyNumberFormat="1" applyFont="1" applyFill="1" applyBorder="1" applyAlignment="1" applyProtection="1">
      <alignment horizontal="center"/>
      <protection locked="0"/>
    </xf>
    <xf numFmtId="167" fontId="9" fillId="0" borderId="4" xfId="0" applyNumberFormat="1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165" fontId="4" fillId="0" borderId="0" xfId="0" applyNumberFormat="1" applyFont="1" applyAlignment="1" applyProtection="1">
      <alignment horizontal="center"/>
      <protection locked="0"/>
    </xf>
    <xf numFmtId="167" fontId="5" fillId="0" borderId="0" xfId="0" applyNumberFormat="1" applyFont="1" applyAlignment="1">
      <alignment horizontal="center"/>
    </xf>
    <xf numFmtId="7" fontId="5" fillId="0" borderId="0" xfId="0" applyNumberFormat="1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167" fontId="21" fillId="0" borderId="0" xfId="0" applyNumberFormat="1" applyFont="1" applyAlignment="1">
      <alignment horizontal="center"/>
    </xf>
    <xf numFmtId="164" fontId="4" fillId="0" borderId="0" xfId="0" applyNumberFormat="1" applyFont="1" applyAlignment="1" applyProtection="1">
      <alignment horizontal="center"/>
      <protection locked="0"/>
    </xf>
    <xf numFmtId="5" fontId="5" fillId="0" borderId="0" xfId="0" applyNumberFormat="1" applyFont="1" applyAlignment="1" applyProtection="1">
      <alignment horizontal="center"/>
      <protection locked="0"/>
    </xf>
    <xf numFmtId="167" fontId="4" fillId="0" borderId="0" xfId="0" applyNumberFormat="1" applyFont="1" applyAlignment="1" applyProtection="1">
      <alignment horizontal="center"/>
      <protection locked="0"/>
    </xf>
    <xf numFmtId="5" fontId="4" fillId="0" borderId="0" xfId="0" applyNumberFormat="1" applyFont="1" applyAlignment="1" applyProtection="1">
      <alignment horizontal="center"/>
      <protection locked="0"/>
    </xf>
    <xf numFmtId="5" fontId="20" fillId="0" borderId="0" xfId="0" applyNumberFormat="1" applyFont="1" applyAlignment="1" applyProtection="1">
      <alignment horizontal="center"/>
      <protection locked="0"/>
    </xf>
    <xf numFmtId="0" fontId="1" fillId="0" borderId="0" xfId="12"/>
    <xf numFmtId="0" fontId="13" fillId="0" borderId="0" xfId="12" applyFont="1" applyAlignment="1">
      <alignment horizontal="centerContinuous"/>
    </xf>
    <xf numFmtId="0" fontId="14" fillId="0" borderId="0" xfId="12" applyFont="1"/>
    <xf numFmtId="0" fontId="14" fillId="0" borderId="0" xfId="12" applyFont="1" applyAlignment="1">
      <alignment horizontal="center"/>
    </xf>
    <xf numFmtId="0" fontId="15" fillId="0" borderId="2" xfId="12" applyFont="1" applyBorder="1"/>
    <xf numFmtId="0" fontId="14" fillId="0" borderId="2" xfId="12" applyFont="1" applyBorder="1" applyAlignment="1">
      <alignment horizontal="center"/>
    </xf>
    <xf numFmtId="167" fontId="14" fillId="0" borderId="0" xfId="12" applyNumberFormat="1" applyFont="1"/>
    <xf numFmtId="166" fontId="14" fillId="0" borderId="0" xfId="12" applyNumberFormat="1" applyFont="1" applyAlignment="1" applyProtection="1">
      <alignment horizontal="center"/>
      <protection locked="0"/>
    </xf>
    <xf numFmtId="167" fontId="14" fillId="0" borderId="0" xfId="12" applyNumberFormat="1" applyFont="1" applyAlignment="1" applyProtection="1">
      <alignment horizontal="center"/>
      <protection locked="0"/>
    </xf>
    <xf numFmtId="167" fontId="14" fillId="0" borderId="0" xfId="12" applyNumberFormat="1" applyFont="1" applyAlignment="1">
      <alignment horizontal="center"/>
    </xf>
    <xf numFmtId="0" fontId="14" fillId="0" borderId="0" xfId="12" applyFont="1" applyAlignment="1" applyProtection="1">
      <alignment horizontal="center"/>
      <protection locked="0"/>
    </xf>
    <xf numFmtId="165" fontId="14" fillId="0" borderId="0" xfId="12" applyNumberFormat="1" applyFont="1" applyAlignment="1">
      <alignment horizontal="center"/>
    </xf>
    <xf numFmtId="0" fontId="1" fillId="0" borderId="0" xfId="12" applyAlignment="1">
      <alignment horizontal="center"/>
    </xf>
    <xf numFmtId="0" fontId="15" fillId="0" borderId="2" xfId="12" applyFont="1" applyBorder="1" applyAlignment="1">
      <alignment horizontal="right"/>
    </xf>
    <xf numFmtId="167" fontId="14" fillId="0" borderId="2" xfId="12" applyNumberFormat="1" applyFont="1" applyBorder="1" applyAlignment="1">
      <alignment horizontal="center"/>
    </xf>
    <xf numFmtId="0" fontId="15" fillId="0" borderId="3" xfId="12" applyFont="1" applyBorder="1"/>
    <xf numFmtId="0" fontId="14" fillId="0" borderId="3" xfId="12" applyFont="1" applyBorder="1"/>
    <xf numFmtId="0" fontId="14" fillId="0" borderId="2" xfId="12" applyFont="1" applyBorder="1"/>
    <xf numFmtId="165" fontId="16" fillId="0" borderId="2" xfId="12" applyNumberFormat="1" applyFont="1" applyBorder="1" applyAlignment="1">
      <alignment horizontal="center"/>
    </xf>
    <xf numFmtId="0" fontId="16" fillId="0" borderId="2" xfId="12" applyFont="1" applyBorder="1" applyAlignment="1">
      <alignment horizontal="center"/>
    </xf>
    <xf numFmtId="165" fontId="14" fillId="0" borderId="2" xfId="12" applyNumberFormat="1" applyFont="1" applyBorder="1" applyAlignment="1">
      <alignment horizontal="center"/>
    </xf>
    <xf numFmtId="0" fontId="14" fillId="0" borderId="3" xfId="12" applyFont="1" applyBorder="1" applyAlignment="1">
      <alignment horizontal="center"/>
    </xf>
    <xf numFmtId="0" fontId="15" fillId="0" borderId="0" xfId="12" applyFont="1" applyAlignment="1">
      <alignment horizontal="right"/>
    </xf>
    <xf numFmtId="165" fontId="16" fillId="0" borderId="0" xfId="12" applyNumberFormat="1" applyFont="1" applyAlignment="1">
      <alignment horizontal="center"/>
    </xf>
    <xf numFmtId="0" fontId="16" fillId="0" borderId="0" xfId="12" applyFont="1" applyAlignment="1">
      <alignment horizontal="center"/>
    </xf>
    <xf numFmtId="0" fontId="15" fillId="0" borderId="3" xfId="12" applyFont="1" applyBorder="1" applyAlignment="1">
      <alignment horizontal="center"/>
    </xf>
    <xf numFmtId="165" fontId="14" fillId="0" borderId="3" xfId="12" applyNumberFormat="1" applyFont="1" applyBorder="1" applyAlignment="1">
      <alignment horizontal="center"/>
    </xf>
    <xf numFmtId="1" fontId="15" fillId="0" borderId="0" xfId="12" applyNumberFormat="1" applyFont="1" applyAlignment="1">
      <alignment horizontal="center"/>
    </xf>
    <xf numFmtId="0" fontId="15" fillId="0" borderId="0" xfId="12" applyFont="1"/>
    <xf numFmtId="0" fontId="14" fillId="0" borderId="3" xfId="12" applyFont="1" applyBorder="1" applyAlignment="1">
      <alignment horizontal="centerContinuous"/>
    </xf>
    <xf numFmtId="167" fontId="14" fillId="0" borderId="10" xfId="12" applyNumberFormat="1" applyFont="1" applyBorder="1" applyAlignment="1" applyProtection="1">
      <alignment horizontal="centerContinuous"/>
      <protection locked="0"/>
    </xf>
    <xf numFmtId="0" fontId="14" fillId="0" borderId="0" xfId="12" applyFont="1" applyAlignment="1">
      <alignment horizontal="left"/>
    </xf>
    <xf numFmtId="167" fontId="14" fillId="0" borderId="0" xfId="12" applyNumberFormat="1" applyFont="1" applyAlignment="1" applyProtection="1">
      <alignment horizontal="centerContinuous"/>
      <protection locked="0"/>
    </xf>
    <xf numFmtId="165" fontId="14" fillId="0" borderId="0" xfId="12" applyNumberFormat="1" applyFont="1" applyAlignment="1">
      <alignment horizontal="centerContinuous"/>
    </xf>
    <xf numFmtId="165" fontId="14" fillId="0" borderId="0" xfId="12" applyNumberFormat="1" applyFont="1"/>
    <xf numFmtId="167" fontId="14" fillId="0" borderId="11" xfId="12" applyNumberFormat="1" applyFont="1" applyBorder="1" applyAlignment="1">
      <alignment horizontal="center"/>
    </xf>
    <xf numFmtId="0" fontId="12" fillId="0" borderId="0" xfId="12" applyFont="1"/>
    <xf numFmtId="167" fontId="17" fillId="0" borderId="0" xfId="12" applyNumberFormat="1" applyFont="1"/>
    <xf numFmtId="1" fontId="4" fillId="0" borderId="0" xfId="0" applyNumberFormat="1" applyFont="1" applyAlignment="1" applyProtection="1">
      <alignment horizontal="center"/>
      <protection locked="0"/>
    </xf>
    <xf numFmtId="3" fontId="5" fillId="2" borderId="0" xfId="0" applyNumberFormat="1" applyFont="1" applyFill="1" applyProtection="1">
      <protection locked="0"/>
    </xf>
    <xf numFmtId="167" fontId="14" fillId="6" borderId="0" xfId="12" applyNumberFormat="1" applyFont="1" applyFill="1" applyAlignment="1" applyProtection="1">
      <alignment horizontal="center"/>
      <protection locked="0"/>
    </xf>
    <xf numFmtId="165" fontId="14" fillId="6" borderId="0" xfId="12" applyNumberFormat="1" applyFont="1" applyFill="1" applyAlignment="1">
      <alignment horizontal="center"/>
    </xf>
    <xf numFmtId="167" fontId="14" fillId="6" borderId="2" xfId="12" applyNumberFormat="1" applyFont="1" applyFill="1" applyBorder="1" applyAlignment="1">
      <alignment horizontal="center"/>
    </xf>
    <xf numFmtId="0" fontId="14" fillId="6" borderId="2" xfId="12" applyFont="1" applyFill="1" applyBorder="1" applyAlignment="1">
      <alignment horizontal="center"/>
    </xf>
    <xf numFmtId="166" fontId="14" fillId="7" borderId="0" xfId="12" applyNumberFormat="1" applyFont="1" applyFill="1" applyAlignment="1" applyProtection="1">
      <alignment horizontal="center"/>
      <protection locked="0"/>
    </xf>
    <xf numFmtId="0" fontId="14" fillId="7" borderId="0" xfId="12" applyFont="1" applyFill="1"/>
    <xf numFmtId="0" fontId="15" fillId="7" borderId="0" xfId="12" applyFont="1" applyFill="1" applyAlignment="1">
      <alignment horizontal="right"/>
    </xf>
    <xf numFmtId="0" fontId="14" fillId="7" borderId="3" xfId="12" applyFont="1" applyFill="1" applyBorder="1" applyAlignment="1">
      <alignment horizontal="center"/>
    </xf>
    <xf numFmtId="164" fontId="4" fillId="0" borderId="0" xfId="0" applyNumberFormat="1" applyFont="1" applyProtection="1">
      <protection locked="0"/>
    </xf>
    <xf numFmtId="1" fontId="0" fillId="0" borderId="0" xfId="0" applyNumberFormat="1"/>
    <xf numFmtId="1" fontId="14" fillId="0" borderId="0" xfId="12" applyNumberFormat="1" applyFont="1" applyAlignment="1">
      <alignment horizontal="center"/>
    </xf>
    <xf numFmtId="41" fontId="5" fillId="2" borderId="2" xfId="14" applyNumberFormat="1" applyFont="1" applyFill="1" applyBorder="1" applyProtection="1">
      <protection locked="0"/>
    </xf>
    <xf numFmtId="41" fontId="5" fillId="2" borderId="0" xfId="14" applyNumberFormat="1" applyFont="1" applyFill="1" applyProtection="1">
      <protection locked="0"/>
    </xf>
    <xf numFmtId="0" fontId="25" fillId="0" borderId="0" xfId="15" applyFont="1"/>
    <xf numFmtId="0" fontId="25" fillId="0" borderId="0" xfId="15" applyFont="1" applyProtection="1">
      <protection locked="0"/>
    </xf>
    <xf numFmtId="0" fontId="24" fillId="2" borderId="0" xfId="15" applyFill="1" applyProtection="1">
      <protection locked="0"/>
    </xf>
    <xf numFmtId="41" fontId="5" fillId="2" borderId="3" xfId="14" applyNumberFormat="1" applyFont="1" applyFill="1" applyBorder="1" applyProtection="1">
      <protection locked="0"/>
    </xf>
    <xf numFmtId="41" fontId="26" fillId="0" borderId="2" xfId="14" applyNumberFormat="1" applyFont="1" applyBorder="1"/>
    <xf numFmtId="0" fontId="27" fillId="0" borderId="0" xfId="12" applyFont="1"/>
    <xf numFmtId="0" fontId="28" fillId="0" borderId="2" xfId="12" applyFont="1" applyBorder="1"/>
    <xf numFmtId="0" fontId="4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9" fillId="0" borderId="0" xfId="12" applyFont="1" applyAlignment="1">
      <alignment horizontal="center"/>
    </xf>
    <xf numFmtId="0" fontId="4" fillId="8" borderId="0" xfId="0" applyFont="1" applyFill="1" applyAlignment="1" applyProtection="1">
      <alignment horizontal="center"/>
      <protection locked="0"/>
    </xf>
    <xf numFmtId="9" fontId="4" fillId="8" borderId="0" xfId="0" applyNumberFormat="1" applyFont="1" applyFill="1" applyAlignment="1" applyProtection="1">
      <alignment horizontal="center"/>
      <protection locked="0"/>
    </xf>
    <xf numFmtId="9" fontId="4" fillId="8" borderId="0" xfId="0" applyNumberFormat="1" applyFont="1" applyFill="1" applyProtection="1">
      <protection locked="0"/>
    </xf>
    <xf numFmtId="164" fontId="5" fillId="8" borderId="0" xfId="0" applyNumberFormat="1" applyFont="1" applyFill="1" applyAlignment="1" applyProtection="1">
      <alignment horizontal="center"/>
      <protection locked="0"/>
    </xf>
    <xf numFmtId="165" fontId="4" fillId="8" borderId="0" xfId="0" applyNumberFormat="1" applyFont="1" applyFill="1" applyAlignment="1" applyProtection="1">
      <alignment horizontal="center"/>
      <protection locked="0"/>
    </xf>
    <xf numFmtId="0" fontId="20" fillId="8" borderId="0" xfId="0" applyFont="1" applyFill="1" applyAlignment="1" applyProtection="1">
      <alignment horizontal="center"/>
      <protection locked="0"/>
    </xf>
    <xf numFmtId="167" fontId="21" fillId="8" borderId="0" xfId="0" applyNumberFormat="1" applyFont="1" applyFill="1" applyAlignment="1">
      <alignment horizontal="center"/>
    </xf>
    <xf numFmtId="2" fontId="4" fillId="8" borderId="0" xfId="0" applyNumberFormat="1" applyFont="1" applyFill="1" applyAlignment="1" applyProtection="1">
      <alignment horizontal="center"/>
      <protection locked="0"/>
    </xf>
    <xf numFmtId="167" fontId="4" fillId="8" borderId="0" xfId="0" applyNumberFormat="1" applyFont="1" applyFill="1" applyAlignment="1" applyProtection="1">
      <alignment horizontal="center"/>
      <protection locked="0"/>
    </xf>
    <xf numFmtId="166" fontId="4" fillId="8" borderId="0" xfId="0" applyNumberFormat="1" applyFont="1" applyFill="1" applyAlignment="1" applyProtection="1">
      <alignment horizontal="center"/>
      <protection locked="0"/>
    </xf>
    <xf numFmtId="1" fontId="4" fillId="8" borderId="0" xfId="0" applyNumberFormat="1" applyFont="1" applyFill="1" applyAlignment="1" applyProtection="1">
      <alignment horizontal="center"/>
      <protection locked="0"/>
    </xf>
    <xf numFmtId="0" fontId="4" fillId="8" borderId="0" xfId="0" applyFont="1" applyFill="1" applyProtection="1">
      <protection locked="0"/>
    </xf>
    <xf numFmtId="10" fontId="4" fillId="8" borderId="0" xfId="0" applyNumberFormat="1" applyFont="1" applyFill="1" applyAlignment="1" applyProtection="1">
      <alignment horizontal="center"/>
      <protection locked="0"/>
    </xf>
    <xf numFmtId="0" fontId="0" fillId="8" borderId="0" xfId="0" applyFill="1"/>
    <xf numFmtId="3" fontId="5" fillId="9" borderId="12" xfId="0" applyNumberFormat="1" applyFont="1" applyFill="1" applyBorder="1" applyProtection="1">
      <protection locked="0"/>
    </xf>
    <xf numFmtId="3" fontId="5" fillId="0" borderId="12" xfId="0" applyNumberFormat="1" applyFont="1" applyFill="1" applyBorder="1" applyProtection="1">
      <protection locked="0"/>
    </xf>
    <xf numFmtId="3" fontId="14" fillId="8" borderId="0" xfId="12" applyNumberFormat="1" applyFont="1" applyFill="1" applyAlignment="1">
      <alignment horizontal="center"/>
    </xf>
    <xf numFmtId="167" fontId="14" fillId="8" borderId="0" xfId="12" applyNumberFormat="1" applyFont="1" applyFill="1"/>
    <xf numFmtId="0" fontId="14" fillId="8" borderId="0" xfId="12" applyFont="1" applyFill="1" applyAlignment="1">
      <alignment horizontal="center"/>
    </xf>
    <xf numFmtId="0" fontId="14" fillId="8" borderId="0" xfId="12" applyFont="1" applyFill="1" applyAlignment="1" applyProtection="1">
      <alignment horizontal="center"/>
      <protection locked="0"/>
    </xf>
    <xf numFmtId="1" fontId="14" fillId="8" borderId="0" xfId="12" applyNumberFormat="1" applyFont="1" applyFill="1" applyAlignment="1">
      <alignment horizontal="center"/>
    </xf>
    <xf numFmtId="167" fontId="14" fillId="8" borderId="0" xfId="12" applyNumberFormat="1" applyFont="1" applyFill="1" applyAlignment="1">
      <alignment horizontal="center"/>
    </xf>
    <xf numFmtId="0" fontId="1" fillId="8" borderId="0" xfId="12" applyFill="1"/>
    <xf numFmtId="0" fontId="29" fillId="8" borderId="0" xfId="12" applyFont="1" applyFill="1"/>
    <xf numFmtId="0" fontId="1" fillId="8" borderId="0" xfId="12" applyFill="1" applyAlignment="1">
      <alignment horizontal="center"/>
    </xf>
  </cellXfs>
  <cellStyles count="16">
    <cellStyle name="Comma" xfId="14" builtinId="3"/>
    <cellStyle name="Date" xfId="1" xr:uid="{00000000-0005-0000-0000-000000000000}"/>
    <cellStyle name="F2" xfId="2" xr:uid="{00000000-0005-0000-0000-000001000000}"/>
    <cellStyle name="F3" xfId="3" xr:uid="{00000000-0005-0000-0000-000002000000}"/>
    <cellStyle name="F4" xfId="4" xr:uid="{00000000-0005-0000-0000-000003000000}"/>
    <cellStyle name="F5" xfId="5" xr:uid="{00000000-0005-0000-0000-000004000000}"/>
    <cellStyle name="F6" xfId="6" xr:uid="{00000000-0005-0000-0000-000005000000}"/>
    <cellStyle name="F7" xfId="7" xr:uid="{00000000-0005-0000-0000-000006000000}"/>
    <cellStyle name="F8" xfId="8" xr:uid="{00000000-0005-0000-0000-000007000000}"/>
    <cellStyle name="Fixed" xfId="9" xr:uid="{00000000-0005-0000-0000-000008000000}"/>
    <cellStyle name="Heading1" xfId="10" xr:uid="{00000000-0005-0000-0000-000009000000}"/>
    <cellStyle name="Heading2" xfId="11" xr:uid="{00000000-0005-0000-0000-00000A000000}"/>
    <cellStyle name="Hyperlink" xfId="15" builtinId="8"/>
    <cellStyle name="Normal" xfId="0" builtinId="0"/>
    <cellStyle name="Normal_CRIT Budgets" xfId="12" xr:uid="{00000000-0005-0000-0000-00000C000000}"/>
    <cellStyle name="Total" xfId="1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4"/>
  <sheetViews>
    <sheetView showGridLines="0" tabSelected="1" zoomScale="173" zoomScaleNormal="173" workbookViewId="0">
      <selection activeCell="H22" sqref="H22"/>
    </sheetView>
  </sheetViews>
  <sheetFormatPr baseColWidth="10" defaultColWidth="8.83203125" defaultRowHeight="13"/>
  <cols>
    <col min="1" max="1" width="25.5" customWidth="1"/>
    <col min="2" max="2" width="20.83203125" customWidth="1"/>
    <col min="3" max="3" width="12.5" customWidth="1"/>
    <col min="4" max="4" width="16.83203125" customWidth="1"/>
    <col min="5" max="5" width="24" customWidth="1"/>
    <col min="6" max="6" width="25.1640625" bestFit="1" customWidth="1"/>
    <col min="7" max="7" width="13" bestFit="1" customWidth="1"/>
    <col min="8" max="8" width="10.83203125" bestFit="1" customWidth="1"/>
  </cols>
  <sheetData>
    <row r="1" spans="1:10" ht="18">
      <c r="B1" s="1"/>
      <c r="C1" s="1"/>
      <c r="D1" s="116" t="s">
        <v>99</v>
      </c>
      <c r="E1" s="116"/>
      <c r="F1" s="1"/>
      <c r="G1" s="1"/>
      <c r="H1" s="17"/>
      <c r="I1" s="3"/>
    </row>
    <row r="2" spans="1:10" ht="18">
      <c r="A2" s="1"/>
      <c r="B2" s="1"/>
      <c r="D2" s="116" t="s">
        <v>148</v>
      </c>
      <c r="E2" s="116"/>
      <c r="F2" s="2"/>
      <c r="G2" s="1"/>
      <c r="H2" s="1"/>
      <c r="I2" s="3"/>
    </row>
    <row r="3" spans="1:10">
      <c r="A3" s="1"/>
      <c r="B3" s="1"/>
      <c r="C3" s="1"/>
      <c r="D3" s="1"/>
      <c r="E3" s="1"/>
      <c r="F3" s="1"/>
      <c r="G3" s="1"/>
      <c r="H3" s="1"/>
      <c r="I3" s="3"/>
    </row>
    <row r="4" spans="1:10" ht="16">
      <c r="A4" s="34"/>
      <c r="B4" s="8" t="s">
        <v>0</v>
      </c>
      <c r="C4" s="119">
        <f>400*0.9</f>
        <v>360</v>
      </c>
      <c r="D4" s="42" t="s">
        <v>113</v>
      </c>
      <c r="E4" s="119">
        <v>20</v>
      </c>
      <c r="F4" s="42" t="s">
        <v>97</v>
      </c>
      <c r="G4" s="121">
        <v>0.85</v>
      </c>
      <c r="H4" s="1"/>
      <c r="I4" s="3"/>
    </row>
    <row r="5" spans="1:10">
      <c r="A5" s="34"/>
      <c r="B5" s="8" t="s">
        <v>1</v>
      </c>
      <c r="C5" s="120">
        <v>0.15</v>
      </c>
      <c r="D5" s="34"/>
      <c r="E5" s="43"/>
      <c r="F5" s="42" t="s">
        <v>114</v>
      </c>
      <c r="G5" s="44">
        <f>C4*C5</f>
        <v>54</v>
      </c>
      <c r="H5" s="1"/>
      <c r="I5" s="3"/>
      <c r="J5" t="s">
        <v>122</v>
      </c>
    </row>
    <row r="6" spans="1:10" ht="3.75" customHeight="1">
      <c r="A6" s="5"/>
      <c r="B6" s="5"/>
      <c r="C6" s="5"/>
      <c r="D6" s="5"/>
      <c r="E6" s="5"/>
      <c r="F6" s="5"/>
      <c r="G6" s="5"/>
      <c r="H6" s="5"/>
      <c r="I6" s="3"/>
    </row>
    <row r="7" spans="1:10">
      <c r="A7" s="1"/>
      <c r="B7" s="1"/>
      <c r="C7" s="4" t="s">
        <v>2</v>
      </c>
      <c r="D7" s="1"/>
      <c r="E7" s="1"/>
      <c r="F7" s="1"/>
      <c r="G7" s="1"/>
      <c r="H7" s="1"/>
      <c r="I7" s="3"/>
      <c r="J7" t="s">
        <v>123</v>
      </c>
    </row>
    <row r="8" spans="1:10">
      <c r="A8" s="1"/>
      <c r="B8" s="1"/>
      <c r="C8" s="17"/>
      <c r="D8" s="17"/>
      <c r="E8" s="6"/>
      <c r="F8" s="6"/>
      <c r="G8" s="6" t="s">
        <v>86</v>
      </c>
      <c r="H8" s="1"/>
      <c r="I8" s="3"/>
    </row>
    <row r="9" spans="1:10" ht="17" thickBot="1">
      <c r="A9" s="1"/>
      <c r="B9" s="1"/>
      <c r="C9" s="36" t="s">
        <v>3</v>
      </c>
      <c r="D9" s="36" t="s">
        <v>87</v>
      </c>
      <c r="E9" s="36" t="s">
        <v>116</v>
      </c>
      <c r="F9" s="36" t="s">
        <v>5</v>
      </c>
      <c r="G9" s="6"/>
      <c r="H9" s="4" t="s">
        <v>6</v>
      </c>
      <c r="I9" s="3"/>
    </row>
    <row r="10" spans="1:10" ht="14" thickBot="1">
      <c r="A10" s="4" t="s">
        <v>7</v>
      </c>
      <c r="B10" s="4"/>
      <c r="C10" s="122">
        <f>C4*$G$4/2</f>
        <v>153</v>
      </c>
      <c r="D10" s="119">
        <v>510</v>
      </c>
      <c r="E10" s="123">
        <v>1.65</v>
      </c>
      <c r="F10" s="46">
        <f>C10*D10*E10</f>
        <v>128749.5</v>
      </c>
      <c r="G10" s="47">
        <f>F10/$C$4</f>
        <v>357.63749999999999</v>
      </c>
      <c r="H10" s="133">
        <f>C10*D10*E10</f>
        <v>128749.5</v>
      </c>
      <c r="I10" s="3"/>
    </row>
    <row r="11" spans="1:10" ht="14" thickBot="1">
      <c r="A11" s="4" t="s">
        <v>8</v>
      </c>
      <c r="B11" s="4"/>
      <c r="C11" s="122">
        <f>C4*$G$4/2-G5</f>
        <v>99</v>
      </c>
      <c r="D11" s="119">
        <v>485</v>
      </c>
      <c r="E11" s="123">
        <v>1.6</v>
      </c>
      <c r="F11" s="46">
        <f>C11*D11*E11</f>
        <v>76824</v>
      </c>
      <c r="G11" s="47">
        <f>F11/$C$4</f>
        <v>213.4</v>
      </c>
      <c r="H11" s="133">
        <f t="shared" ref="H11:H13" si="0">C11*D11*E11</f>
        <v>76824</v>
      </c>
      <c r="I11" s="3"/>
    </row>
    <row r="12" spans="1:10" ht="14" thickBot="1">
      <c r="A12" s="4" t="s">
        <v>9</v>
      </c>
      <c r="B12" s="4"/>
      <c r="C12" s="119">
        <f>C4*$C$5</f>
        <v>54</v>
      </c>
      <c r="D12" s="119">
        <v>900</v>
      </c>
      <c r="E12" s="123">
        <v>0.78</v>
      </c>
      <c r="F12" s="46">
        <f>C12*D12*E12</f>
        <v>37908</v>
      </c>
      <c r="G12" s="47">
        <f>F12/$C$4</f>
        <v>105.3</v>
      </c>
      <c r="H12" s="133">
        <f t="shared" si="0"/>
        <v>37908</v>
      </c>
      <c r="I12" s="3"/>
    </row>
    <row r="13" spans="1:10" ht="14" thickBot="1">
      <c r="A13" s="4" t="s">
        <v>10</v>
      </c>
      <c r="B13" s="4"/>
      <c r="C13" s="119">
        <v>1</v>
      </c>
      <c r="D13" s="119">
        <v>1200</v>
      </c>
      <c r="E13" s="123">
        <v>0.84</v>
      </c>
      <c r="F13" s="46">
        <f>C13*D13*E13</f>
        <v>1008</v>
      </c>
      <c r="G13" s="47">
        <f>F13/$C$4</f>
        <v>2.8</v>
      </c>
      <c r="H13" s="133">
        <f t="shared" si="0"/>
        <v>1008</v>
      </c>
      <c r="I13" s="3"/>
    </row>
    <row r="14" spans="1:10">
      <c r="A14" s="4" t="s">
        <v>120</v>
      </c>
      <c r="B14" s="4"/>
      <c r="C14" s="124">
        <v>1</v>
      </c>
      <c r="D14" s="119"/>
      <c r="E14" s="123"/>
      <c r="F14" s="125">
        <v>4500</v>
      </c>
      <c r="G14" s="47">
        <f>F14/$C$4</f>
        <v>12.5</v>
      </c>
      <c r="H14" s="94">
        <f>C14*F14</f>
        <v>4500</v>
      </c>
      <c r="I14" s="3"/>
    </row>
    <row r="15" spans="1:10" ht="14" thickBot="1">
      <c r="A15" s="4"/>
      <c r="B15" s="4"/>
      <c r="D15" s="44"/>
      <c r="E15" s="44"/>
      <c r="F15" s="44"/>
      <c r="G15" s="44"/>
      <c r="H15" s="1"/>
      <c r="I15" s="3"/>
    </row>
    <row r="16" spans="1:10" ht="14" thickBot="1">
      <c r="A16" s="1"/>
      <c r="B16" s="4" t="s">
        <v>115</v>
      </c>
      <c r="C16" s="50">
        <f>SUM(C10:C13)</f>
        <v>307</v>
      </c>
      <c r="D16" s="44"/>
      <c r="E16" s="44"/>
      <c r="F16" s="51">
        <f>SUM(F10:F15)</f>
        <v>248989.5</v>
      </c>
      <c r="G16" s="47">
        <f>F16/$C$4</f>
        <v>691.63750000000005</v>
      </c>
      <c r="H16" s="133">
        <f>SUM(H10:H14)</f>
        <v>248989.5</v>
      </c>
      <c r="I16" s="3"/>
    </row>
    <row r="17" spans="1:16" ht="3.75" customHeight="1">
      <c r="A17" s="5"/>
      <c r="B17" s="5"/>
      <c r="C17" s="5"/>
      <c r="D17" s="5"/>
      <c r="E17" s="5"/>
      <c r="F17" s="5"/>
      <c r="G17" s="5"/>
      <c r="H17" s="5"/>
      <c r="I17" s="3"/>
    </row>
    <row r="18" spans="1:16">
      <c r="A18" s="4" t="s">
        <v>12</v>
      </c>
      <c r="B18" s="1"/>
      <c r="C18" s="1"/>
      <c r="D18" s="1"/>
      <c r="E18" s="1"/>
      <c r="F18" s="1"/>
      <c r="G18" s="1"/>
      <c r="H18" s="1"/>
      <c r="I18" s="3"/>
      <c r="K18" t="s">
        <v>132</v>
      </c>
    </row>
    <row r="19" spans="1:16" ht="4.5" customHeight="1">
      <c r="A19" s="5"/>
      <c r="B19" s="5"/>
      <c r="C19" s="5"/>
      <c r="D19" s="5"/>
      <c r="E19" s="5"/>
      <c r="F19" s="5"/>
      <c r="G19" s="5"/>
      <c r="H19" s="5"/>
      <c r="I19" s="3"/>
    </row>
    <row r="20" spans="1:16">
      <c r="A20" s="1"/>
      <c r="B20" s="1"/>
      <c r="C20" s="1"/>
      <c r="D20" s="4"/>
      <c r="E20" s="6"/>
      <c r="F20" s="6"/>
      <c r="G20" s="6" t="s">
        <v>86</v>
      </c>
      <c r="H20" s="4"/>
      <c r="I20" s="3"/>
      <c r="L20" t="s">
        <v>128</v>
      </c>
      <c r="M20" t="s">
        <v>129</v>
      </c>
      <c r="N20" t="s">
        <v>130</v>
      </c>
    </row>
    <row r="21" spans="1:16" ht="14" thickBot="1">
      <c r="A21" s="4" t="s">
        <v>13</v>
      </c>
      <c r="B21" s="4"/>
      <c r="C21" s="36" t="s">
        <v>14</v>
      </c>
      <c r="D21" s="36" t="s">
        <v>75</v>
      </c>
      <c r="E21" s="36" t="s">
        <v>4</v>
      </c>
      <c r="F21" s="36" t="s">
        <v>15</v>
      </c>
      <c r="G21" s="6"/>
      <c r="H21" s="4" t="s">
        <v>6</v>
      </c>
      <c r="I21" s="3"/>
      <c r="K21" t="s">
        <v>124</v>
      </c>
      <c r="L21">
        <f>C4</f>
        <v>360</v>
      </c>
      <c r="M21">
        <v>1</v>
      </c>
      <c r="N21">
        <f>L21*M21</f>
        <v>360</v>
      </c>
    </row>
    <row r="22" spans="1:16" ht="14" thickBot="1">
      <c r="A22" s="4"/>
      <c r="B22" s="4" t="s">
        <v>16</v>
      </c>
      <c r="C22" s="6" t="s">
        <v>17</v>
      </c>
      <c r="D22" s="126">
        <v>28</v>
      </c>
      <c r="E22" s="127">
        <v>160</v>
      </c>
      <c r="F22" s="46">
        <f>D22*E22</f>
        <v>4480</v>
      </c>
      <c r="G22" s="23">
        <f t="shared" ref="G22:G28" si="1">F22/$C$4</f>
        <v>12.444444444444445</v>
      </c>
      <c r="H22" s="134">
        <f>D22*E22</f>
        <v>4480</v>
      </c>
      <c r="I22" s="3"/>
      <c r="K22" t="s">
        <v>125</v>
      </c>
      <c r="L22" s="104">
        <f>'SE L INV'!A29</f>
        <v>18</v>
      </c>
      <c r="M22">
        <v>1.25</v>
      </c>
      <c r="N22">
        <f t="shared" ref="N22:N24" si="2">L22*M22</f>
        <v>22.5</v>
      </c>
    </row>
    <row r="23" spans="1:16" ht="14" thickBot="1">
      <c r="A23" s="4"/>
      <c r="B23" s="4" t="s">
        <v>18</v>
      </c>
      <c r="C23" s="6" t="s">
        <v>74</v>
      </c>
      <c r="D23" s="128">
        <v>0.45</v>
      </c>
      <c r="E23" s="123">
        <f>2.79*12</f>
        <v>33.480000000000004</v>
      </c>
      <c r="F23" s="46">
        <f>E23*$C$4*D23</f>
        <v>5423.76</v>
      </c>
      <c r="G23" s="23">
        <f t="shared" si="1"/>
        <v>15.066000000000001</v>
      </c>
      <c r="H23" s="134">
        <f>D23*$N$26*E23</f>
        <v>6401.5434000000005</v>
      </c>
      <c r="I23" s="3"/>
      <c r="K23" t="s">
        <v>126</v>
      </c>
      <c r="L23">
        <f>'SE L INV'!A28</f>
        <v>8</v>
      </c>
      <c r="M23">
        <v>1.25</v>
      </c>
      <c r="N23">
        <f t="shared" si="2"/>
        <v>10</v>
      </c>
    </row>
    <row r="24" spans="1:16" ht="14" thickBot="1">
      <c r="A24" s="4"/>
      <c r="B24" s="4" t="s">
        <v>105</v>
      </c>
      <c r="C24" s="6" t="s">
        <v>74</v>
      </c>
      <c r="D24" s="128">
        <v>0.25</v>
      </c>
      <c r="E24" s="123">
        <f>1.46*12</f>
        <v>17.52</v>
      </c>
      <c r="F24" s="46">
        <f>E24*$C$4</f>
        <v>6307.2</v>
      </c>
      <c r="G24" s="23">
        <f t="shared" si="1"/>
        <v>17.52</v>
      </c>
      <c r="H24" s="134">
        <f t="shared" ref="H24:H26" si="3">D24*$N$26*E24</f>
        <v>1861.0619999999999</v>
      </c>
      <c r="I24" s="3"/>
      <c r="K24" t="s">
        <v>127</v>
      </c>
      <c r="L24">
        <f>G5</f>
        <v>54</v>
      </c>
      <c r="M24">
        <v>0.6</v>
      </c>
      <c r="N24">
        <f t="shared" si="2"/>
        <v>32.4</v>
      </c>
    </row>
    <row r="25" spans="1:16" ht="14" thickBot="1">
      <c r="A25" s="4"/>
      <c r="B25" s="4" t="s">
        <v>90</v>
      </c>
      <c r="C25" s="6" t="s">
        <v>74</v>
      </c>
      <c r="D25" s="128">
        <v>0.3</v>
      </c>
      <c r="E25" s="123">
        <v>0</v>
      </c>
      <c r="F25" s="46">
        <f>E25*$C$4</f>
        <v>0</v>
      </c>
      <c r="G25" s="23">
        <f t="shared" si="1"/>
        <v>0</v>
      </c>
      <c r="H25" s="134">
        <f t="shared" si="3"/>
        <v>0</v>
      </c>
      <c r="I25" s="3"/>
    </row>
    <row r="26" spans="1:16" ht="14" thickBot="1">
      <c r="A26" s="4"/>
      <c r="B26" s="4" t="s">
        <v>89</v>
      </c>
      <c r="C26" s="6" t="s">
        <v>74</v>
      </c>
      <c r="D26" s="128">
        <v>0</v>
      </c>
      <c r="E26" s="123">
        <v>0</v>
      </c>
      <c r="F26" s="46">
        <f>E26*$C$4</f>
        <v>0</v>
      </c>
      <c r="G26" s="23">
        <f t="shared" si="1"/>
        <v>0</v>
      </c>
      <c r="H26" s="134">
        <f t="shared" si="3"/>
        <v>0</v>
      </c>
      <c r="I26" s="3"/>
      <c r="K26" t="s">
        <v>131</v>
      </c>
      <c r="N26" s="134">
        <f>SUM(N21:N24)</f>
        <v>424.9</v>
      </c>
    </row>
    <row r="27" spans="1:16" ht="14" thickBot="1">
      <c r="A27" s="4"/>
      <c r="B27" s="4" t="s">
        <v>19</v>
      </c>
      <c r="C27" s="6" t="s">
        <v>17</v>
      </c>
      <c r="D27" s="129">
        <f>C4*0.15*365/2000</f>
        <v>9.8550000000000004</v>
      </c>
      <c r="E27" s="127">
        <v>710</v>
      </c>
      <c r="F27" s="46">
        <f>D27*E27</f>
        <v>6997.05</v>
      </c>
      <c r="G27" s="23">
        <f t="shared" si="1"/>
        <v>19.436250000000001</v>
      </c>
      <c r="H27" s="134">
        <f t="shared" ref="H27:H28" si="4">D27*E27</f>
        <v>6997.05</v>
      </c>
      <c r="I27" s="3"/>
    </row>
    <row r="28" spans="1:16" ht="14" thickBot="1">
      <c r="A28" s="4"/>
      <c r="B28" s="4" t="s">
        <v>20</v>
      </c>
      <c r="C28" s="6" t="s">
        <v>17</v>
      </c>
      <c r="D28" s="129">
        <f>C4*2*100/2000</f>
        <v>36</v>
      </c>
      <c r="E28" s="127">
        <v>355</v>
      </c>
      <c r="F28" s="46">
        <f>D28*E28</f>
        <v>12780</v>
      </c>
      <c r="G28" s="23">
        <f t="shared" si="1"/>
        <v>35.5</v>
      </c>
      <c r="H28" s="134">
        <f t="shared" si="4"/>
        <v>12780</v>
      </c>
      <c r="I28" s="3"/>
    </row>
    <row r="29" spans="1:16" ht="14" thickBot="1">
      <c r="A29" s="4"/>
      <c r="B29" s="4"/>
      <c r="C29" s="4"/>
      <c r="D29" s="93"/>
      <c r="E29" s="52"/>
      <c r="F29" s="49"/>
      <c r="G29" s="37"/>
      <c r="H29" s="1"/>
      <c r="I29" s="3"/>
      <c r="K29" t="s">
        <v>155</v>
      </c>
      <c r="L29" t="s">
        <v>133</v>
      </c>
      <c r="M29" t="s">
        <v>134</v>
      </c>
      <c r="N29" t="s">
        <v>140</v>
      </c>
      <c r="O29" t="s">
        <v>135</v>
      </c>
      <c r="P29" t="s">
        <v>136</v>
      </c>
    </row>
    <row r="30" spans="1:16" ht="14" thickBot="1">
      <c r="A30" s="4"/>
      <c r="B30" s="4"/>
      <c r="C30" s="4"/>
      <c r="D30" s="44"/>
      <c r="E30" s="44"/>
      <c r="F30" s="44"/>
      <c r="G30" s="9"/>
      <c r="H30" s="1"/>
      <c r="I30" s="3"/>
      <c r="K30" t="s">
        <v>138</v>
      </c>
      <c r="L30" s="132"/>
      <c r="M30" s="132"/>
      <c r="O30" s="132"/>
      <c r="P30" s="134"/>
    </row>
    <row r="31" spans="1:16" ht="14" thickBot="1">
      <c r="A31" s="4"/>
      <c r="B31" s="4" t="s">
        <v>115</v>
      </c>
      <c r="C31" s="4"/>
      <c r="D31" s="44"/>
      <c r="E31" s="44"/>
      <c r="F31" s="51">
        <f>SUM(F22:F29)</f>
        <v>35988.009999999995</v>
      </c>
      <c r="G31" s="23">
        <f>SUM(G22:G29)</f>
        <v>99.966694444444443</v>
      </c>
      <c r="H31" s="134">
        <f>SUM(H22:H28)</f>
        <v>32519.6554</v>
      </c>
      <c r="I31" s="3"/>
      <c r="K31" t="s">
        <v>137</v>
      </c>
      <c r="L31" s="132"/>
      <c r="M31" s="132"/>
      <c r="O31" s="132"/>
      <c r="P31" s="134"/>
    </row>
    <row r="32" spans="1:16" ht="18.75" customHeight="1" thickBot="1">
      <c r="A32" s="1"/>
      <c r="B32" s="1"/>
      <c r="C32" s="1"/>
      <c r="D32" s="44"/>
      <c r="E32" s="41"/>
      <c r="F32" s="41"/>
      <c r="G32" s="9"/>
      <c r="H32" s="1"/>
      <c r="I32" s="3"/>
      <c r="K32" t="s">
        <v>139</v>
      </c>
      <c r="L32" s="132"/>
      <c r="N32" s="132">
        <v>12</v>
      </c>
      <c r="O32" s="132">
        <v>3000</v>
      </c>
      <c r="P32" s="134">
        <f>N32*O32</f>
        <v>36000</v>
      </c>
    </row>
    <row r="33" spans="1:16" ht="14" thickBot="1">
      <c r="A33" s="4" t="s">
        <v>21</v>
      </c>
      <c r="B33" s="4"/>
      <c r="C33" s="4"/>
      <c r="D33" s="43"/>
      <c r="E33" s="41"/>
      <c r="F33" s="48" t="s">
        <v>15</v>
      </c>
      <c r="G33" s="9"/>
      <c r="H33" s="1"/>
      <c r="I33" s="3"/>
      <c r="K33" t="s">
        <v>151</v>
      </c>
    </row>
    <row r="34" spans="1:16" ht="14" thickBot="1">
      <c r="A34" s="4"/>
      <c r="B34" s="4" t="s">
        <v>22</v>
      </c>
      <c r="C34" s="4"/>
      <c r="D34" s="103">
        <f>C16</f>
        <v>307</v>
      </c>
      <c r="E34" s="130">
        <v>15.75</v>
      </c>
      <c r="F34" s="53">
        <f>C16*15.75</f>
        <v>4835.25</v>
      </c>
      <c r="G34" s="23">
        <f>F34/$C$4</f>
        <v>13.43125</v>
      </c>
      <c r="H34" s="134">
        <f>D34*E34</f>
        <v>4835.25</v>
      </c>
      <c r="I34" s="3"/>
      <c r="K34" t="s">
        <v>152</v>
      </c>
    </row>
    <row r="35" spans="1:16" ht="14" thickBot="1">
      <c r="A35" s="4"/>
      <c r="B35" s="4" t="s">
        <v>23</v>
      </c>
      <c r="C35" s="4"/>
      <c r="D35" s="103">
        <f>C16</f>
        <v>307</v>
      </c>
      <c r="E35" s="130">
        <v>4.75</v>
      </c>
      <c r="F35" s="53">
        <f>C16*4.75</f>
        <v>1458.25</v>
      </c>
      <c r="G35" s="23">
        <f t="shared" ref="G35:G43" si="5">F35/$C$4</f>
        <v>4.0506944444444448</v>
      </c>
      <c r="H35" s="134">
        <f>D35*E35</f>
        <v>1458.25</v>
      </c>
      <c r="I35" s="3"/>
      <c r="K35" t="s">
        <v>136</v>
      </c>
      <c r="P35">
        <f>SUM(P30:P32)</f>
        <v>36000</v>
      </c>
    </row>
    <row r="36" spans="1:16">
      <c r="A36" s="4"/>
      <c r="B36" s="4" t="s">
        <v>24</v>
      </c>
      <c r="C36" s="110" t="s">
        <v>153</v>
      </c>
      <c r="D36" s="43"/>
      <c r="E36" s="43"/>
      <c r="F36" s="53">
        <v>25000</v>
      </c>
      <c r="G36" s="23">
        <f t="shared" si="5"/>
        <v>69.444444444444443</v>
      </c>
      <c r="H36" s="111">
        <f>P35</f>
        <v>36000</v>
      </c>
      <c r="I36" s="3"/>
    </row>
    <row r="37" spans="1:16">
      <c r="A37" s="4"/>
      <c r="B37" s="110" t="s">
        <v>150</v>
      </c>
      <c r="C37" s="110"/>
      <c r="D37" s="43"/>
      <c r="E37" s="43"/>
      <c r="F37" s="53"/>
      <c r="G37" s="23"/>
      <c r="H37" s="107"/>
      <c r="I37" s="3"/>
    </row>
    <row r="38" spans="1:16">
      <c r="A38" s="4"/>
      <c r="B38" s="4"/>
      <c r="C38" s="110"/>
      <c r="D38" s="43"/>
      <c r="E38" s="43"/>
      <c r="F38" s="53"/>
      <c r="G38" s="23"/>
      <c r="H38" s="107"/>
      <c r="I38" s="3"/>
    </row>
    <row r="39" spans="1:16" ht="16">
      <c r="A39" s="4"/>
      <c r="B39" s="4" t="s">
        <v>73</v>
      </c>
      <c r="C39" s="4"/>
      <c r="D39" s="109"/>
      <c r="E39" s="43"/>
      <c r="F39" s="53">
        <v>5000</v>
      </c>
      <c r="G39" s="23">
        <f t="shared" si="5"/>
        <v>13.888888888888889</v>
      </c>
      <c r="H39" s="112">
        <f>'SE L INV'!S28</f>
        <v>0</v>
      </c>
      <c r="I39" s="3"/>
      <c r="K39" t="s">
        <v>154</v>
      </c>
    </row>
    <row r="40" spans="1:16">
      <c r="A40" s="4"/>
      <c r="B40" s="4" t="s">
        <v>25</v>
      </c>
      <c r="C40" s="4"/>
      <c r="D40" s="43"/>
      <c r="E40" s="43"/>
      <c r="F40" s="53">
        <v>7500</v>
      </c>
      <c r="G40" s="23">
        <f t="shared" si="5"/>
        <v>20.833333333333332</v>
      </c>
      <c r="H40" s="106">
        <f>'SE L INV'!S22</f>
        <v>0</v>
      </c>
      <c r="I40" s="3"/>
      <c r="L40" t="s">
        <v>142</v>
      </c>
      <c r="M40" t="s">
        <v>143</v>
      </c>
      <c r="N40" t="s">
        <v>136</v>
      </c>
    </row>
    <row r="41" spans="1:16">
      <c r="A41" s="4"/>
      <c r="B41" s="4" t="s">
        <v>141</v>
      </c>
      <c r="C41" s="4"/>
      <c r="D41" s="43"/>
      <c r="E41" s="43"/>
      <c r="F41" s="53">
        <v>7000</v>
      </c>
      <c r="G41" s="23">
        <f t="shared" si="5"/>
        <v>19.444444444444443</v>
      </c>
      <c r="H41" s="106"/>
      <c r="I41" s="3"/>
      <c r="K41" t="s">
        <v>125</v>
      </c>
    </row>
    <row r="42" spans="1:16">
      <c r="A42" s="4"/>
      <c r="B42" s="4" t="s">
        <v>163</v>
      </c>
      <c r="C42" s="4"/>
      <c r="D42" s="43"/>
      <c r="E42" s="45"/>
      <c r="F42" s="53">
        <f>C10+C11*1</f>
        <v>252</v>
      </c>
      <c r="G42" s="23">
        <f t="shared" si="5"/>
        <v>0.7</v>
      </c>
      <c r="H42" s="106">
        <f>'SE L INV'!P17</f>
        <v>0</v>
      </c>
      <c r="I42" s="3"/>
      <c r="K42" t="s">
        <v>144</v>
      </c>
    </row>
    <row r="43" spans="1:16">
      <c r="A43" s="4"/>
      <c r="B43" s="4" t="s">
        <v>118</v>
      </c>
      <c r="C43" s="4"/>
      <c r="D43" s="43"/>
      <c r="E43" s="43"/>
      <c r="F43" s="54">
        <v>15000</v>
      </c>
      <c r="G43" s="37">
        <f t="shared" si="5"/>
        <v>41.666666666666664</v>
      </c>
      <c r="H43" s="106"/>
      <c r="I43" s="3"/>
      <c r="K43" t="s">
        <v>145</v>
      </c>
    </row>
    <row r="44" spans="1:16">
      <c r="A44" s="4"/>
      <c r="B44" s="4"/>
      <c r="C44" s="4"/>
      <c r="D44" s="43"/>
      <c r="E44" s="43"/>
      <c r="F44" s="41"/>
      <c r="G44" s="20"/>
      <c r="H44" s="107"/>
      <c r="I44" s="3"/>
      <c r="K44" t="s">
        <v>146</v>
      </c>
    </row>
    <row r="45" spans="1:16">
      <c r="A45" s="4"/>
      <c r="B45" s="4" t="s">
        <v>115</v>
      </c>
      <c r="C45" s="4"/>
      <c r="D45" s="43"/>
      <c r="E45" s="43"/>
      <c r="F45" s="51">
        <f>SUM(F34:F43)</f>
        <v>66045.5</v>
      </c>
      <c r="G45" s="23">
        <f>SUM(G34:G43)</f>
        <v>183.45972222222218</v>
      </c>
      <c r="H45" s="106"/>
      <c r="I45" s="3"/>
      <c r="K45" t="s">
        <v>136</v>
      </c>
      <c r="N45">
        <f>SUM(N41:N44)</f>
        <v>0</v>
      </c>
    </row>
    <row r="46" spans="1:16">
      <c r="A46" s="4"/>
      <c r="B46" s="4"/>
      <c r="C46" s="4"/>
      <c r="D46" s="43"/>
      <c r="E46" s="43"/>
      <c r="F46" s="41"/>
      <c r="G46" s="20"/>
      <c r="H46" s="1"/>
      <c r="I46" s="3"/>
    </row>
    <row r="47" spans="1:16">
      <c r="A47" s="4" t="s">
        <v>26</v>
      </c>
      <c r="B47" s="4"/>
      <c r="C47" s="4"/>
      <c r="D47" s="43"/>
      <c r="E47" s="43"/>
      <c r="F47" s="41"/>
      <c r="G47" s="20"/>
      <c r="H47" s="1"/>
      <c r="I47" s="3"/>
    </row>
    <row r="48" spans="1:16">
      <c r="A48" s="4"/>
      <c r="B48" s="4" t="s">
        <v>27</v>
      </c>
      <c r="C48" s="4"/>
      <c r="D48" s="43"/>
      <c r="E48" s="43"/>
      <c r="F48" s="41"/>
      <c r="G48" s="20"/>
      <c r="H48" s="1"/>
      <c r="I48" s="3"/>
    </row>
    <row r="49" spans="1:9">
      <c r="A49" s="4"/>
      <c r="B49" s="4" t="s">
        <v>28</v>
      </c>
      <c r="C49" s="4"/>
      <c r="D49" s="43"/>
      <c r="E49" s="43"/>
      <c r="F49" s="41"/>
      <c r="G49" s="20"/>
      <c r="H49" s="1"/>
      <c r="I49" s="3"/>
    </row>
    <row r="50" spans="1:9">
      <c r="A50" s="4"/>
      <c r="B50" s="4" t="s">
        <v>29</v>
      </c>
      <c r="C50" s="4"/>
      <c r="D50" s="44"/>
      <c r="E50" s="44"/>
      <c r="F50" s="131">
        <v>6.5000000000000002E-2</v>
      </c>
      <c r="G50" s="20"/>
      <c r="H50" s="1"/>
      <c r="I50" s="3"/>
    </row>
    <row r="51" spans="1:9">
      <c r="A51" s="4"/>
      <c r="B51" s="4" t="s">
        <v>30</v>
      </c>
      <c r="C51" s="4"/>
      <c r="D51" s="44"/>
      <c r="E51" s="44"/>
      <c r="F51" s="41">
        <v>6</v>
      </c>
      <c r="G51" s="6" t="s">
        <v>86</v>
      </c>
      <c r="H51" s="1"/>
      <c r="I51" s="3"/>
    </row>
    <row r="52" spans="1:9">
      <c r="A52" s="4"/>
      <c r="B52" s="4"/>
      <c r="C52" s="4"/>
      <c r="D52" s="1"/>
      <c r="E52" s="1"/>
      <c r="F52" s="1"/>
      <c r="G52" s="6"/>
      <c r="H52" s="1"/>
      <c r="I52" s="3"/>
    </row>
    <row r="53" spans="1:9" ht="14" thickBot="1">
      <c r="A53" s="4"/>
      <c r="B53" s="1"/>
      <c r="C53" s="4"/>
      <c r="D53" s="1"/>
      <c r="E53" s="1"/>
      <c r="F53" s="24">
        <f>(F45+F31)*$F$50/12*$F$51</f>
        <v>3316.0890749999999</v>
      </c>
      <c r="G53" s="25">
        <f>F53/$C$4</f>
        <v>9.2113585416666659</v>
      </c>
      <c r="H53" s="7"/>
      <c r="I53" s="3"/>
    </row>
    <row r="54" spans="1:9" ht="3" customHeight="1">
      <c r="A54" s="10"/>
      <c r="B54" s="10"/>
      <c r="C54" s="10"/>
      <c r="D54" s="10"/>
      <c r="E54" s="10"/>
      <c r="F54" s="10"/>
      <c r="G54" s="10"/>
      <c r="H54" s="10"/>
      <c r="I54" s="3"/>
    </row>
    <row r="55" spans="1:9" ht="14" thickBot="1">
      <c r="A55" s="1"/>
      <c r="B55" s="1"/>
      <c r="C55" s="11"/>
      <c r="D55" s="12"/>
      <c r="E55" s="12"/>
      <c r="F55" s="24">
        <f>F31+F45+F53</f>
        <v>105349.59907499999</v>
      </c>
      <c r="G55" s="25">
        <f>F55/$C$4</f>
        <v>292.63777520833332</v>
      </c>
      <c r="H55" s="12"/>
      <c r="I55" s="3"/>
    </row>
    <row r="56" spans="1:9" ht="0.75" customHeight="1">
      <c r="A56" s="10"/>
      <c r="B56" s="10"/>
      <c r="C56" s="10"/>
      <c r="D56" s="10"/>
      <c r="E56" s="10"/>
      <c r="F56" s="10"/>
      <c r="G56" s="10"/>
      <c r="H56" s="10"/>
      <c r="I56" s="3"/>
    </row>
    <row r="57" spans="1:9">
      <c r="A57" s="4"/>
      <c r="B57" s="4" t="s">
        <v>115</v>
      </c>
      <c r="C57" s="4"/>
      <c r="D57" s="1"/>
      <c r="E57" s="1"/>
      <c r="F57" s="22">
        <f>F16-F55</f>
        <v>143639.90092500002</v>
      </c>
      <c r="G57" s="23">
        <f>F57/$C$4</f>
        <v>398.99972479166672</v>
      </c>
      <c r="H57" s="7"/>
      <c r="I57" s="3"/>
    </row>
    <row r="58" spans="1:9" ht="7.5" customHeight="1">
      <c r="A58" s="4"/>
      <c r="B58" s="4"/>
      <c r="C58" s="4"/>
      <c r="D58" s="1"/>
      <c r="E58" s="1"/>
      <c r="F58" s="1"/>
      <c r="G58" s="1"/>
      <c r="H58" s="13"/>
      <c r="I58" s="3"/>
    </row>
    <row r="59" spans="1:9">
      <c r="A59" s="4" t="s">
        <v>31</v>
      </c>
      <c r="B59" s="4"/>
      <c r="C59" s="4"/>
      <c r="D59" s="1"/>
      <c r="E59" s="1"/>
      <c r="F59" s="1"/>
      <c r="G59" s="1"/>
      <c r="H59" s="1"/>
      <c r="I59" s="3"/>
    </row>
    <row r="60" spans="1:9" ht="3" customHeight="1">
      <c r="A60" s="5"/>
      <c r="B60" s="5"/>
      <c r="C60" s="5"/>
      <c r="D60" s="5"/>
      <c r="E60" s="5"/>
      <c r="F60" s="5"/>
      <c r="G60" s="5"/>
      <c r="H60" s="5"/>
      <c r="I60" s="3"/>
    </row>
    <row r="61" spans="1:9" ht="16">
      <c r="A61" s="19"/>
      <c r="B61" s="4" t="s">
        <v>147</v>
      </c>
      <c r="C61" s="4"/>
      <c r="D61" s="4"/>
      <c r="E61" s="4"/>
      <c r="F61" s="14" t="s">
        <v>93</v>
      </c>
      <c r="G61" s="6" t="s">
        <v>86</v>
      </c>
      <c r="H61" s="4" t="s">
        <v>6</v>
      </c>
      <c r="I61" s="3"/>
    </row>
    <row r="62" spans="1:9">
      <c r="A62" s="4" t="s">
        <v>81</v>
      </c>
      <c r="B62" s="4"/>
      <c r="C62" s="4"/>
      <c r="D62" s="4"/>
      <c r="E62" s="4"/>
      <c r="F62" s="6"/>
      <c r="G62" s="6"/>
      <c r="H62" s="4"/>
      <c r="I62" s="3"/>
    </row>
    <row r="63" spans="1:9">
      <c r="A63" s="32" t="s">
        <v>35</v>
      </c>
      <c r="B63" s="4"/>
      <c r="C63" s="4"/>
      <c r="D63" s="4"/>
      <c r="E63" s="4"/>
      <c r="F63" s="21">
        <f>'SE L INV'!K26</f>
        <v>9402.3012429056889</v>
      </c>
      <c r="G63" s="23">
        <f>F63/$C$4</f>
        <v>26.117503452515802</v>
      </c>
      <c r="H63" s="15"/>
      <c r="I63" s="3"/>
    </row>
    <row r="64" spans="1:9" ht="14" thickBot="1">
      <c r="A64" s="32" t="s">
        <v>36</v>
      </c>
      <c r="B64" s="4"/>
      <c r="C64" s="4"/>
      <c r="D64" s="4"/>
      <c r="E64" s="4"/>
      <c r="F64" s="38">
        <v>4000</v>
      </c>
      <c r="G64" s="39">
        <f>F64/$C$4</f>
        <v>11.111111111111111</v>
      </c>
      <c r="H64" s="15"/>
      <c r="I64" s="3"/>
    </row>
    <row r="65" spans="1:9">
      <c r="A65" s="4" t="s">
        <v>119</v>
      </c>
      <c r="B65" s="4"/>
      <c r="C65" s="4"/>
      <c r="D65" s="4"/>
      <c r="E65" s="4"/>
      <c r="F65" s="27">
        <f>SUM(F63:F64)</f>
        <v>13402.301242905689</v>
      </c>
      <c r="G65" s="23">
        <f>F65/$C$4</f>
        <v>37.228614563626913</v>
      </c>
      <c r="H65" s="15"/>
      <c r="I65" s="3"/>
    </row>
    <row r="66" spans="1:9" ht="5.25" customHeight="1">
      <c r="A66" s="4"/>
      <c r="B66" s="4"/>
      <c r="C66" s="4"/>
      <c r="D66" s="4"/>
      <c r="E66" s="4"/>
      <c r="F66" s="6"/>
      <c r="G66" s="6"/>
      <c r="H66" s="4"/>
      <c r="I66" s="3"/>
    </row>
    <row r="67" spans="1:9">
      <c r="A67" s="26" t="s">
        <v>82</v>
      </c>
      <c r="B67" s="4"/>
      <c r="C67" s="4"/>
      <c r="D67" s="4"/>
      <c r="E67" s="4"/>
      <c r="F67" s="6"/>
      <c r="G67" s="6"/>
      <c r="H67" s="4"/>
      <c r="I67" s="3"/>
    </row>
    <row r="68" spans="1:9" ht="13.5" customHeight="1">
      <c r="A68" s="32" t="s">
        <v>32</v>
      </c>
      <c r="B68" s="4"/>
      <c r="C68" s="4"/>
      <c r="D68" s="4"/>
      <c r="E68" s="4"/>
      <c r="F68" s="21">
        <f>'SE L INV'!K31</f>
        <v>10923.954419466547</v>
      </c>
      <c r="G68" s="23">
        <f t="shared" ref="G68:G73" si="6">F68/$C$4</f>
        <v>30.344317831851519</v>
      </c>
      <c r="H68" s="15"/>
      <c r="I68" s="3"/>
    </row>
    <row r="69" spans="1:9">
      <c r="A69" s="32" t="s">
        <v>34</v>
      </c>
      <c r="B69" s="4"/>
      <c r="C69" s="4"/>
      <c r="D69" s="4"/>
      <c r="E69" s="4"/>
      <c r="F69" s="21">
        <f>'SE L INV'!K26</f>
        <v>9402.3012429056889</v>
      </c>
      <c r="G69" s="23">
        <f t="shared" si="6"/>
        <v>26.117503452515802</v>
      </c>
      <c r="H69" s="15"/>
      <c r="I69" s="3"/>
    </row>
    <row r="70" spans="1:9">
      <c r="A70" s="32" t="s">
        <v>33</v>
      </c>
      <c r="B70" s="4"/>
      <c r="C70" s="4"/>
      <c r="D70" s="4"/>
      <c r="E70" s="4"/>
      <c r="F70" s="21">
        <f>'SE L INV'!K17</f>
        <v>48433.354964526428</v>
      </c>
      <c r="G70" s="23">
        <f t="shared" si="6"/>
        <v>134.53709712368453</v>
      </c>
      <c r="H70" s="15"/>
      <c r="I70" s="3"/>
    </row>
    <row r="71" spans="1:9" ht="16">
      <c r="A71" s="32" t="s">
        <v>98</v>
      </c>
      <c r="B71" s="4"/>
      <c r="C71" s="4"/>
      <c r="D71" s="4"/>
      <c r="E71" s="4"/>
      <c r="F71" s="21">
        <f>'SE L INV'!K36</f>
        <v>19077.120000000003</v>
      </c>
      <c r="G71" s="23">
        <f t="shared" si="6"/>
        <v>52.992000000000004</v>
      </c>
      <c r="H71" s="15"/>
      <c r="I71" s="3"/>
    </row>
    <row r="72" spans="1:9" ht="14" thickBot="1">
      <c r="A72" s="32" t="s">
        <v>88</v>
      </c>
      <c r="B72" s="34"/>
      <c r="C72" s="34"/>
      <c r="D72" s="34"/>
      <c r="E72" s="34"/>
      <c r="F72" s="40">
        <f>F16*0.06</f>
        <v>14939.369999999999</v>
      </c>
      <c r="G72" s="39">
        <f t="shared" si="6"/>
        <v>41.498249999999999</v>
      </c>
      <c r="H72" s="15"/>
    </row>
    <row r="73" spans="1:9">
      <c r="A73" s="4" t="s">
        <v>119</v>
      </c>
      <c r="B73" s="4"/>
      <c r="C73" s="4"/>
      <c r="D73" s="4"/>
      <c r="E73" s="4"/>
      <c r="F73" s="27">
        <f>SUM(F68:F72)</f>
        <v>102776.10062689867</v>
      </c>
      <c r="G73" s="23">
        <f t="shared" si="6"/>
        <v>285.48916840805185</v>
      </c>
      <c r="H73" s="15"/>
      <c r="I73" s="3"/>
    </row>
    <row r="74" spans="1:9" ht="3" customHeight="1">
      <c r="A74" s="10"/>
      <c r="B74" s="10"/>
      <c r="C74" s="10"/>
      <c r="D74" s="10"/>
      <c r="E74" s="10"/>
      <c r="F74" s="10"/>
      <c r="G74" s="10"/>
      <c r="H74" s="10"/>
      <c r="I74" s="3"/>
    </row>
    <row r="75" spans="1:9">
      <c r="A75" s="4" t="s">
        <v>100</v>
      </c>
      <c r="B75" s="11"/>
      <c r="C75" s="11"/>
      <c r="D75" s="11"/>
      <c r="E75" s="11"/>
      <c r="F75" s="22">
        <f>F65+F73</f>
        <v>116178.40186980435</v>
      </c>
      <c r="G75" s="23">
        <f>F75/$C$4</f>
        <v>322.71778297167873</v>
      </c>
      <c r="H75" s="16"/>
      <c r="I75" s="3"/>
    </row>
    <row r="76" spans="1:9" ht="2.25" customHeight="1">
      <c r="A76" s="10"/>
      <c r="B76" s="10"/>
      <c r="C76" s="10"/>
      <c r="D76" s="10"/>
      <c r="E76" s="10"/>
      <c r="F76" s="10"/>
      <c r="G76" s="10"/>
      <c r="H76" s="10"/>
      <c r="I76" s="3"/>
    </row>
    <row r="77" spans="1:9">
      <c r="A77" s="4" t="s">
        <v>101</v>
      </c>
      <c r="B77" s="1"/>
      <c r="C77" s="4"/>
      <c r="D77" s="1"/>
      <c r="E77" s="1"/>
      <c r="F77" s="22">
        <f>F65+F55</f>
        <v>118751.90031790567</v>
      </c>
      <c r="G77" s="23">
        <f>F77/$C$4</f>
        <v>329.8663897719602</v>
      </c>
      <c r="H77" s="7"/>
      <c r="I77" s="3"/>
    </row>
    <row r="78" spans="1:9" ht="3.75" customHeight="1">
      <c r="A78" s="4"/>
      <c r="B78" s="1"/>
      <c r="C78" s="4"/>
      <c r="D78" s="1"/>
      <c r="E78" s="1"/>
      <c r="F78" s="22"/>
      <c r="G78" s="23"/>
      <c r="H78" s="33"/>
      <c r="I78" s="3"/>
    </row>
    <row r="79" spans="1:9">
      <c r="A79" s="4" t="s">
        <v>102</v>
      </c>
      <c r="B79" s="1"/>
      <c r="C79" s="4"/>
      <c r="D79" s="1"/>
      <c r="E79" s="1"/>
      <c r="F79" s="22">
        <f>F55+F75</f>
        <v>221528.00094480434</v>
      </c>
      <c r="G79" s="23">
        <f>F79/$C$4</f>
        <v>615.35555818001205</v>
      </c>
      <c r="H79" s="7"/>
      <c r="I79" s="3"/>
    </row>
    <row r="80" spans="1:9" ht="4.5" customHeight="1">
      <c r="A80" s="4"/>
      <c r="B80" s="1"/>
      <c r="C80" s="4"/>
      <c r="D80" s="1"/>
      <c r="E80" s="1"/>
      <c r="F80" s="22"/>
      <c r="G80" s="23"/>
      <c r="H80" s="33"/>
      <c r="I80" s="3"/>
    </row>
    <row r="81" spans="1:9">
      <c r="A81" s="4" t="s">
        <v>103</v>
      </c>
      <c r="B81" s="4"/>
      <c r="C81" s="4"/>
      <c r="D81" s="4"/>
      <c r="E81" s="4"/>
      <c r="F81" s="22">
        <f>F16-F77</f>
        <v>130237.59968209433</v>
      </c>
      <c r="G81" s="23">
        <f>F81/$C$4</f>
        <v>361.77111022803979</v>
      </c>
      <c r="H81" s="7"/>
      <c r="I81" s="3"/>
    </row>
    <row r="82" spans="1:9" ht="5.25" customHeight="1">
      <c r="A82" s="4"/>
      <c r="B82" s="1"/>
      <c r="C82" s="4"/>
      <c r="D82" s="4"/>
      <c r="E82" s="4"/>
      <c r="F82" s="22"/>
      <c r="G82" s="23"/>
      <c r="H82" s="33"/>
      <c r="I82" s="3"/>
    </row>
    <row r="83" spans="1:9">
      <c r="A83" s="4" t="s">
        <v>104</v>
      </c>
      <c r="B83" s="1" t="s">
        <v>11</v>
      </c>
      <c r="C83" s="1"/>
      <c r="D83" s="1"/>
      <c r="E83" s="1"/>
      <c r="F83" s="22">
        <f>F16-F79</f>
        <v>27461.499055195658</v>
      </c>
      <c r="G83" s="23">
        <f>F83/$C$4</f>
        <v>76.281941819987935</v>
      </c>
      <c r="H83" s="7"/>
      <c r="I83" s="3"/>
    </row>
    <row r="84" spans="1:9" ht="3.75" customHeight="1">
      <c r="A84" s="5"/>
      <c r="B84" s="5"/>
      <c r="C84" s="5"/>
      <c r="D84" s="5"/>
      <c r="E84" s="5"/>
      <c r="F84" s="5"/>
      <c r="G84" s="5"/>
      <c r="H84" s="5"/>
      <c r="I84" s="3"/>
    </row>
    <row r="85" spans="1:9" ht="14" thickBot="1">
      <c r="A85" s="4" t="s">
        <v>37</v>
      </c>
      <c r="B85" s="4"/>
      <c r="C85" s="115"/>
      <c r="D85" s="115"/>
      <c r="E85" s="115"/>
      <c r="F85" s="115"/>
      <c r="G85" s="115"/>
      <c r="H85" s="13"/>
      <c r="I85" s="3"/>
    </row>
    <row r="86" spans="1:9">
      <c r="A86" s="1"/>
      <c r="B86" s="4"/>
      <c r="C86" s="28" t="s">
        <v>109</v>
      </c>
      <c r="D86" s="29" t="s">
        <v>110</v>
      </c>
      <c r="E86" s="6"/>
      <c r="F86" s="6"/>
      <c r="G86" s="6"/>
      <c r="H86" s="19"/>
      <c r="I86" s="3"/>
    </row>
    <row r="87" spans="1:9" ht="14" thickBot="1">
      <c r="A87" s="1"/>
      <c r="B87" s="4"/>
      <c r="C87" s="30" t="s">
        <v>38</v>
      </c>
      <c r="D87" s="31" t="s">
        <v>38</v>
      </c>
      <c r="E87" s="6"/>
      <c r="F87" s="6"/>
      <c r="G87" s="6"/>
      <c r="H87" s="19"/>
      <c r="I87" s="3"/>
    </row>
    <row r="88" spans="1:9" ht="6" customHeight="1">
      <c r="A88" s="19"/>
      <c r="B88" s="8"/>
      <c r="C88" s="17"/>
      <c r="D88" s="17"/>
      <c r="E88" s="17"/>
      <c r="F88" s="17"/>
      <c r="G88" s="17"/>
      <c r="H88" s="19"/>
      <c r="I88" s="3"/>
    </row>
    <row r="89" spans="1:9">
      <c r="A89" s="19"/>
      <c r="B89" s="8" t="s">
        <v>83</v>
      </c>
      <c r="C89" s="23">
        <f>$F$55/($C$4*G4*($D$10+$D$11)/2)*100</f>
        <v>69.201956892304651</v>
      </c>
      <c r="D89" s="23">
        <f>$F$77/($C$4*G4*($D$10+$D$11)/2)*100</f>
        <v>78.005649369662478</v>
      </c>
      <c r="E89" s="23"/>
      <c r="F89" s="23"/>
      <c r="G89" s="23"/>
      <c r="H89" s="19"/>
      <c r="I89" s="3"/>
    </row>
    <row r="90" spans="1:9" ht="4.5" customHeight="1">
      <c r="A90" s="19"/>
      <c r="B90" s="8"/>
      <c r="C90" s="17"/>
      <c r="D90" s="17"/>
      <c r="E90" s="17"/>
      <c r="F90" s="17"/>
      <c r="G90" s="17"/>
      <c r="H90" s="19"/>
      <c r="I90" s="3"/>
    </row>
    <row r="91" spans="1:9">
      <c r="A91" s="19"/>
      <c r="B91" s="8" t="s">
        <v>84</v>
      </c>
      <c r="C91" s="23">
        <f>$F$55/($C$4*G4*($D$10+$D$11)/2)*100</f>
        <v>69.201956892304651</v>
      </c>
      <c r="D91" s="23">
        <f>$F$79/($C$4*G4*($D$10+$D$11)/2)*100</f>
        <v>145.51712874490383</v>
      </c>
      <c r="E91" s="23"/>
      <c r="F91" s="23"/>
      <c r="G91" s="23"/>
      <c r="H91" s="19"/>
      <c r="I91" s="3"/>
    </row>
    <row r="92" spans="1:9" ht="5.25" customHeight="1" thickBot="1">
      <c r="A92" s="18"/>
      <c r="B92" s="18"/>
      <c r="C92" s="18"/>
      <c r="D92" s="18"/>
      <c r="E92" s="18"/>
      <c r="F92" s="18"/>
      <c r="G92" s="18"/>
      <c r="H92" s="18"/>
      <c r="I92" s="3"/>
    </row>
    <row r="93" spans="1:9">
      <c r="A93" s="34" t="s">
        <v>111</v>
      </c>
      <c r="B93" s="3"/>
      <c r="C93" s="3"/>
      <c r="D93" s="3"/>
      <c r="E93" s="3"/>
      <c r="F93" s="3"/>
      <c r="G93" s="3"/>
      <c r="H93" s="3"/>
      <c r="I93" s="3"/>
    </row>
    <row r="94" spans="1:9">
      <c r="A94" s="19" t="s">
        <v>121</v>
      </c>
      <c r="B94" s="3"/>
      <c r="C94" s="3"/>
      <c r="D94" s="3"/>
      <c r="E94" s="3"/>
      <c r="F94" s="3"/>
      <c r="G94" s="3"/>
      <c r="H94" s="3"/>
      <c r="I94" s="3"/>
    </row>
    <row r="95" spans="1:9">
      <c r="A95" s="19" t="s">
        <v>112</v>
      </c>
      <c r="B95" s="3"/>
      <c r="C95" s="3"/>
      <c r="D95" s="3"/>
      <c r="E95" s="3"/>
      <c r="F95" s="3"/>
      <c r="G95" s="3"/>
      <c r="H95" s="3"/>
      <c r="I95" s="3"/>
    </row>
    <row r="96" spans="1:9">
      <c r="A96" s="19" t="s">
        <v>94</v>
      </c>
      <c r="B96" s="3"/>
      <c r="C96" s="3"/>
      <c r="D96" s="3"/>
      <c r="E96" s="3"/>
      <c r="F96" s="3"/>
      <c r="G96" s="3"/>
      <c r="H96" s="3"/>
      <c r="I96" s="3"/>
    </row>
    <row r="97" spans="1:9">
      <c r="A97" s="34" t="s">
        <v>95</v>
      </c>
      <c r="B97" s="19"/>
      <c r="C97" s="19"/>
      <c r="D97" s="19"/>
      <c r="E97" s="19"/>
      <c r="F97" s="19"/>
      <c r="G97" s="19"/>
      <c r="H97" s="19"/>
      <c r="I97" s="3"/>
    </row>
    <row r="98" spans="1:9">
      <c r="A98" s="19" t="s">
        <v>96</v>
      </c>
      <c r="B98" s="19"/>
      <c r="C98" s="19"/>
      <c r="D98" s="19"/>
      <c r="E98" s="19"/>
      <c r="F98" s="19"/>
      <c r="G98" s="19"/>
      <c r="H98" s="19"/>
      <c r="I98" s="3"/>
    </row>
    <row r="99" spans="1:9">
      <c r="A99" s="19"/>
      <c r="B99" s="19"/>
      <c r="C99" s="19"/>
      <c r="D99" s="19"/>
      <c r="E99" s="19"/>
      <c r="F99" s="19"/>
      <c r="G99" s="19"/>
      <c r="H99" s="19"/>
      <c r="I99" s="3"/>
    </row>
    <row r="100" spans="1:9">
      <c r="A100" s="19"/>
      <c r="B100" s="19"/>
      <c r="C100" s="19"/>
      <c r="D100" s="19"/>
      <c r="E100" s="19"/>
      <c r="F100" s="19"/>
      <c r="G100" s="19"/>
      <c r="H100" s="19"/>
      <c r="I100" s="3"/>
    </row>
    <row r="101" spans="1:9">
      <c r="A101" s="19"/>
      <c r="B101" s="19"/>
      <c r="C101" s="19"/>
      <c r="D101" s="19"/>
      <c r="E101" s="19"/>
      <c r="F101" s="19"/>
      <c r="G101" s="19"/>
      <c r="H101" s="19"/>
      <c r="I101" s="3"/>
    </row>
    <row r="102" spans="1:9">
      <c r="A102" s="19"/>
      <c r="B102" s="19"/>
      <c r="C102" s="19"/>
      <c r="D102" s="19"/>
      <c r="E102" s="19"/>
      <c r="F102" s="19"/>
      <c r="G102" s="19"/>
      <c r="H102" s="19"/>
      <c r="I102" s="3"/>
    </row>
    <row r="103" spans="1:9">
      <c r="A103" s="19"/>
      <c r="B103" s="19"/>
      <c r="C103" s="19"/>
      <c r="D103" s="19"/>
      <c r="E103" s="19"/>
      <c r="F103" s="19"/>
      <c r="G103" s="19"/>
      <c r="H103" s="19"/>
      <c r="I103" s="3"/>
    </row>
    <row r="104" spans="1:9">
      <c r="A104" s="19"/>
      <c r="B104" s="19"/>
      <c r="C104" s="19"/>
      <c r="D104" s="19"/>
      <c r="E104" s="19"/>
      <c r="F104" s="19"/>
      <c r="G104" s="19"/>
      <c r="H104" s="19"/>
      <c r="I104" s="3"/>
    </row>
    <row r="105" spans="1:9">
      <c r="A105" s="19"/>
      <c r="B105" s="19"/>
      <c r="C105" s="19"/>
      <c r="D105" s="19"/>
      <c r="E105" s="19"/>
      <c r="F105" s="19"/>
      <c r="G105" s="19"/>
      <c r="H105" s="19"/>
      <c r="I105" s="3"/>
    </row>
    <row r="106" spans="1:9">
      <c r="A106" s="34"/>
      <c r="B106" s="34"/>
      <c r="C106" s="34"/>
      <c r="D106" s="34"/>
      <c r="E106" s="34"/>
      <c r="F106" s="34"/>
      <c r="G106" s="34"/>
      <c r="H106" s="34"/>
    </row>
    <row r="107" spans="1:9">
      <c r="A107" s="34"/>
      <c r="B107" s="34"/>
      <c r="C107" s="34"/>
      <c r="D107" s="34"/>
      <c r="E107" s="34"/>
      <c r="F107" s="34"/>
      <c r="G107" s="34"/>
      <c r="H107" s="34"/>
    </row>
    <row r="108" spans="1:9">
      <c r="A108" s="34"/>
      <c r="B108" s="34"/>
      <c r="C108" s="34"/>
      <c r="D108" s="34"/>
      <c r="E108" s="34"/>
      <c r="F108" s="34"/>
      <c r="G108" s="34"/>
      <c r="H108" s="34"/>
    </row>
    <row r="109" spans="1:9">
      <c r="A109" s="34"/>
      <c r="B109" s="34"/>
      <c r="C109" s="34"/>
      <c r="D109" s="34"/>
      <c r="E109" s="34"/>
      <c r="F109" s="34"/>
      <c r="G109" s="34"/>
      <c r="H109" s="34"/>
    </row>
    <row r="110" spans="1:9">
      <c r="A110" s="34"/>
      <c r="B110" s="34"/>
      <c r="C110" s="34"/>
      <c r="D110" s="34"/>
      <c r="E110" s="34"/>
      <c r="F110" s="34"/>
      <c r="G110" s="34"/>
      <c r="H110" s="34"/>
    </row>
    <row r="111" spans="1:9">
      <c r="A111" s="34"/>
      <c r="B111" s="34"/>
      <c r="C111" s="34"/>
      <c r="D111" s="34"/>
      <c r="E111" s="34"/>
      <c r="F111" s="34"/>
      <c r="G111" s="34"/>
      <c r="H111" s="34"/>
    </row>
    <row r="112" spans="1:9">
      <c r="A112" s="34"/>
      <c r="B112" s="34"/>
      <c r="C112" s="34"/>
      <c r="D112" s="34"/>
      <c r="E112" s="34"/>
      <c r="F112" s="34"/>
      <c r="G112" s="34"/>
      <c r="H112" s="34"/>
    </row>
    <row r="113" spans="1:8">
      <c r="A113" s="34"/>
      <c r="B113" s="34"/>
      <c r="C113" s="34"/>
      <c r="D113" s="34"/>
      <c r="E113" s="34"/>
      <c r="F113" s="34"/>
      <c r="G113" s="34"/>
      <c r="H113" s="34"/>
    </row>
    <row r="114" spans="1:8">
      <c r="A114" s="34"/>
      <c r="B114" s="34"/>
      <c r="C114" s="34"/>
      <c r="D114" s="34"/>
      <c r="E114" s="34"/>
      <c r="F114" s="34"/>
      <c r="G114" s="34"/>
      <c r="H114" s="34"/>
    </row>
    <row r="115" spans="1:8">
      <c r="A115" s="34"/>
      <c r="B115" s="34"/>
      <c r="C115" s="34"/>
      <c r="D115" s="34"/>
      <c r="E115" s="34"/>
      <c r="F115" s="34"/>
      <c r="G115" s="34"/>
      <c r="H115" s="34"/>
    </row>
    <row r="116" spans="1:8">
      <c r="A116" s="34"/>
      <c r="B116" s="34"/>
      <c r="C116" s="34"/>
      <c r="D116" s="34"/>
      <c r="E116" s="34"/>
      <c r="F116" s="34"/>
      <c r="G116" s="34"/>
      <c r="H116" s="34"/>
    </row>
    <row r="117" spans="1:8">
      <c r="A117" s="34"/>
      <c r="B117" s="34"/>
      <c r="C117" s="34"/>
      <c r="D117" s="34"/>
      <c r="E117" s="34"/>
      <c r="F117" s="34"/>
      <c r="G117" s="34"/>
      <c r="H117" s="34"/>
    </row>
    <row r="118" spans="1:8">
      <c r="A118" s="34"/>
      <c r="B118" s="34"/>
      <c r="C118" s="34"/>
      <c r="D118" s="34"/>
      <c r="E118" s="34"/>
      <c r="F118" s="34"/>
      <c r="G118" s="34"/>
      <c r="H118" s="34"/>
    </row>
    <row r="119" spans="1:8">
      <c r="A119" s="34"/>
      <c r="B119" s="34"/>
      <c r="C119" s="34"/>
      <c r="D119" s="34"/>
      <c r="E119" s="34"/>
      <c r="F119" s="34"/>
      <c r="G119" s="34"/>
      <c r="H119" s="34"/>
    </row>
    <row r="120" spans="1:8">
      <c r="A120" s="34"/>
      <c r="B120" s="34"/>
      <c r="C120" s="34"/>
      <c r="D120" s="34"/>
      <c r="E120" s="34"/>
      <c r="F120" s="34"/>
      <c r="G120" s="34"/>
      <c r="H120" s="34"/>
    </row>
    <row r="121" spans="1:8">
      <c r="A121" s="34"/>
      <c r="B121" s="34"/>
      <c r="C121" s="34"/>
      <c r="D121" s="34"/>
      <c r="E121" s="34"/>
      <c r="F121" s="34"/>
      <c r="G121" s="34"/>
      <c r="H121" s="34"/>
    </row>
    <row r="122" spans="1:8">
      <c r="A122" s="34"/>
      <c r="B122" s="34"/>
      <c r="C122" s="34"/>
      <c r="D122" s="34"/>
      <c r="E122" s="34"/>
      <c r="F122" s="34"/>
      <c r="G122" s="34"/>
      <c r="H122" s="34"/>
    </row>
    <row r="123" spans="1:8">
      <c r="A123" s="34"/>
      <c r="B123" s="34"/>
      <c r="C123" s="34"/>
      <c r="D123" s="34"/>
      <c r="E123" s="34"/>
      <c r="F123" s="34"/>
      <c r="G123" s="34"/>
      <c r="H123" s="34"/>
    </row>
    <row r="124" spans="1:8">
      <c r="A124" s="34"/>
      <c r="B124" s="34"/>
      <c r="C124" s="34"/>
      <c r="D124" s="34"/>
      <c r="E124" s="34"/>
      <c r="F124" s="34"/>
      <c r="G124" s="34"/>
      <c r="H124" s="34"/>
    </row>
    <row r="125" spans="1:8">
      <c r="A125" s="34"/>
      <c r="B125" s="34"/>
      <c r="C125" s="34"/>
      <c r="D125" s="34"/>
      <c r="E125" s="34"/>
      <c r="F125" s="34"/>
      <c r="G125" s="34"/>
      <c r="H125" s="34"/>
    </row>
    <row r="126" spans="1:8">
      <c r="A126" s="34"/>
      <c r="B126" s="34"/>
      <c r="C126" s="34"/>
      <c r="D126" s="34"/>
      <c r="E126" s="34"/>
      <c r="F126" s="34"/>
      <c r="G126" s="34"/>
      <c r="H126" s="34"/>
    </row>
    <row r="127" spans="1:8">
      <c r="A127" s="34"/>
      <c r="B127" s="34"/>
      <c r="C127" s="34"/>
      <c r="D127" s="34"/>
      <c r="E127" s="34"/>
      <c r="F127" s="34"/>
      <c r="G127" s="34"/>
      <c r="H127" s="34"/>
    </row>
    <row r="128" spans="1:8">
      <c r="A128" s="34"/>
      <c r="B128" s="34"/>
      <c r="C128" s="34"/>
      <c r="D128" s="34"/>
      <c r="E128" s="34"/>
      <c r="F128" s="34"/>
      <c r="G128" s="34"/>
      <c r="H128" s="34"/>
    </row>
    <row r="129" spans="1:8">
      <c r="A129" s="34"/>
      <c r="B129" s="34"/>
      <c r="C129" s="34"/>
      <c r="D129" s="34"/>
      <c r="E129" s="34"/>
      <c r="F129" s="34"/>
      <c r="G129" s="34"/>
      <c r="H129" s="34"/>
    </row>
    <row r="130" spans="1:8">
      <c r="A130" s="34"/>
      <c r="B130" s="34"/>
      <c r="C130" s="34"/>
      <c r="D130" s="34"/>
      <c r="E130" s="34"/>
      <c r="F130" s="34"/>
      <c r="G130" s="34"/>
      <c r="H130" s="34"/>
    </row>
    <row r="131" spans="1:8">
      <c r="A131" s="34"/>
      <c r="B131" s="34"/>
      <c r="C131" s="34"/>
      <c r="D131" s="34"/>
      <c r="E131" s="34"/>
      <c r="F131" s="34"/>
      <c r="G131" s="34"/>
      <c r="H131" s="34"/>
    </row>
    <row r="132" spans="1:8">
      <c r="A132" s="34"/>
      <c r="B132" s="34"/>
      <c r="C132" s="34"/>
      <c r="D132" s="34"/>
      <c r="E132" s="34"/>
      <c r="F132" s="34"/>
      <c r="G132" s="34"/>
      <c r="H132" s="34"/>
    </row>
    <row r="133" spans="1:8">
      <c r="A133" s="34"/>
      <c r="B133" s="34"/>
      <c r="C133" s="34"/>
      <c r="D133" s="34"/>
      <c r="E133" s="34"/>
      <c r="F133" s="34"/>
      <c r="G133" s="34"/>
      <c r="H133" s="34"/>
    </row>
    <row r="134" spans="1:8">
      <c r="A134" s="34"/>
      <c r="B134" s="34"/>
      <c r="C134" s="34"/>
      <c r="D134" s="34"/>
      <c r="E134" s="34"/>
      <c r="F134" s="34"/>
      <c r="G134" s="34"/>
      <c r="H134" s="34"/>
    </row>
  </sheetData>
  <mergeCells count="4">
    <mergeCell ref="C85:E85"/>
    <mergeCell ref="F85:G85"/>
    <mergeCell ref="D1:E1"/>
    <mergeCell ref="D2:E2"/>
  </mergeCells>
  <phoneticPr fontId="0" type="noConversion"/>
  <hyperlinks>
    <hyperlink ref="C36" location="_2._Hired_labor" display="Calculation" xr:uid="{165DC5F8-1F68-473C-8650-2CB7E5BC55FB}"/>
    <hyperlink ref="B37" location="'SE L INV'!A1" display="Go To Ranch Investment Table" xr:uid="{C4AD1842-A096-4EED-955F-F0D5CD86B91D}"/>
  </hyperlinks>
  <printOptions horizontalCentered="1"/>
  <pageMargins left="0.5" right="0.5" top="0.5" bottom="0.5" header="0.5" footer="0.5"/>
  <pageSetup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2"/>
  <sheetViews>
    <sheetView showGridLines="0" zoomScale="170" zoomScaleNormal="170" workbookViewId="0">
      <selection activeCell="L32" sqref="L32"/>
    </sheetView>
  </sheetViews>
  <sheetFormatPr baseColWidth="10" defaultColWidth="9.1640625" defaultRowHeight="14"/>
  <cols>
    <col min="1" max="1" width="9.5" style="55" customWidth="1"/>
    <col min="2" max="2" width="26.1640625" style="55" bestFit="1" customWidth="1"/>
    <col min="3" max="3" width="15.1640625" style="55" bestFit="1" customWidth="1"/>
    <col min="4" max="4" width="14.5" style="55" bestFit="1" customWidth="1"/>
    <col min="5" max="5" width="11.5" style="55" bestFit="1" customWidth="1"/>
    <col min="6" max="6" width="13.1640625" style="55" bestFit="1" customWidth="1"/>
    <col min="7" max="7" width="6.83203125" style="55" bestFit="1" customWidth="1"/>
    <col min="8" max="9" width="0.1640625" style="55" hidden="1" customWidth="1"/>
    <col min="10" max="10" width="9.5" style="55" bestFit="1" customWidth="1"/>
    <col min="11" max="11" width="21.5" style="55" bestFit="1" customWidth="1"/>
    <col min="12" max="12" width="23.5" style="55" customWidth="1"/>
    <col min="13" max="13" width="10" style="55" customWidth="1"/>
    <col min="14" max="14" width="9.1640625" style="55" customWidth="1"/>
    <col min="15" max="15" width="10" style="55" customWidth="1"/>
    <col min="16" max="16" width="9.1640625" style="55" customWidth="1"/>
    <col min="17" max="17" width="12" style="55" customWidth="1"/>
    <col min="18" max="18" width="8.83203125" style="55" customWidth="1"/>
    <col min="19" max="16384" width="9.1640625" style="55"/>
  </cols>
  <sheetData>
    <row r="1" spans="1:20" ht="18">
      <c r="C1" s="117" t="s">
        <v>99</v>
      </c>
      <c r="D1" s="117"/>
      <c r="E1" s="117"/>
      <c r="F1" s="117"/>
      <c r="G1" s="117"/>
    </row>
    <row r="2" spans="1:20" ht="16.5" customHeight="1">
      <c r="A2" s="56"/>
      <c r="B2" s="56"/>
      <c r="C2" s="118" t="s">
        <v>108</v>
      </c>
      <c r="D2" s="118"/>
      <c r="E2" s="118"/>
      <c r="F2" s="118"/>
      <c r="G2" s="118"/>
      <c r="H2" s="56"/>
      <c r="I2" s="56"/>
      <c r="J2" s="56"/>
      <c r="K2" s="56"/>
      <c r="L2"/>
      <c r="M2"/>
    </row>
    <row r="3" spans="1:20">
      <c r="B3" s="57"/>
      <c r="C3" s="57"/>
      <c r="D3" s="57"/>
      <c r="E3" s="57"/>
      <c r="F3" s="57"/>
      <c r="G3" s="57"/>
      <c r="H3" s="57"/>
      <c r="I3" s="57"/>
      <c r="J3" s="57"/>
      <c r="K3" s="57"/>
      <c r="L3"/>
      <c r="M3"/>
    </row>
    <row r="4" spans="1:20">
      <c r="A4" s="57"/>
      <c r="B4" s="57"/>
      <c r="C4" s="57"/>
      <c r="D4" s="58" t="s">
        <v>39</v>
      </c>
      <c r="E4" s="58" t="s">
        <v>40</v>
      </c>
      <c r="F4" s="58" t="s">
        <v>41</v>
      </c>
      <c r="G4" s="58" t="s">
        <v>42</v>
      </c>
      <c r="H4" s="58"/>
      <c r="I4" s="58"/>
      <c r="J4" s="58" t="s">
        <v>76</v>
      </c>
      <c r="K4" s="58" t="s">
        <v>43</v>
      </c>
      <c r="L4"/>
      <c r="M4"/>
    </row>
    <row r="5" spans="1:20">
      <c r="A5" s="59" t="s">
        <v>44</v>
      </c>
      <c r="B5" s="59" t="s">
        <v>80</v>
      </c>
      <c r="C5" s="59" t="s">
        <v>46</v>
      </c>
      <c r="D5" s="60" t="s">
        <v>47</v>
      </c>
      <c r="E5" s="60" t="s">
        <v>48</v>
      </c>
      <c r="F5" s="60" t="s">
        <v>49</v>
      </c>
      <c r="G5" s="60" t="s">
        <v>50</v>
      </c>
      <c r="H5" s="60"/>
      <c r="I5" s="60"/>
      <c r="J5" s="60" t="s">
        <v>77</v>
      </c>
      <c r="K5" s="60" t="s">
        <v>51</v>
      </c>
      <c r="L5"/>
      <c r="M5"/>
    </row>
    <row r="6" spans="1:20">
      <c r="A6" s="135">
        <v>6000</v>
      </c>
      <c r="B6" s="57" t="s">
        <v>52</v>
      </c>
      <c r="C6" s="136">
        <v>375</v>
      </c>
      <c r="D6" s="62">
        <v>3.9E-2</v>
      </c>
      <c r="E6" s="63">
        <f>C6*A6</f>
        <v>2250000</v>
      </c>
      <c r="F6" s="64">
        <f>E6</f>
        <v>2250000</v>
      </c>
      <c r="G6" s="65"/>
      <c r="H6" s="66"/>
      <c r="I6" s="66"/>
      <c r="J6" s="66"/>
      <c r="K6" s="66"/>
      <c r="L6"/>
      <c r="M6"/>
      <c r="T6" s="67"/>
    </row>
    <row r="7" spans="1:20" ht="15">
      <c r="A7" s="105">
        <v>400</v>
      </c>
      <c r="B7" s="57" t="s">
        <v>91</v>
      </c>
      <c r="C7" s="136">
        <v>2450</v>
      </c>
      <c r="D7" s="62">
        <v>3.9E-2</v>
      </c>
      <c r="E7" s="63">
        <f>C7*A7</f>
        <v>980000</v>
      </c>
      <c r="F7" s="64">
        <f>E7</f>
        <v>980000</v>
      </c>
      <c r="G7" s="65"/>
      <c r="H7" s="66"/>
      <c r="I7" s="66"/>
      <c r="J7" s="66"/>
      <c r="K7" s="66"/>
      <c r="L7"/>
      <c r="M7"/>
      <c r="T7" s="67"/>
    </row>
    <row r="8" spans="1:20">
      <c r="A8" s="61"/>
      <c r="B8" s="57"/>
      <c r="C8" s="57"/>
      <c r="D8" s="57"/>
      <c r="E8" s="57"/>
      <c r="F8" s="57"/>
      <c r="G8" s="57"/>
      <c r="H8" s="57"/>
      <c r="I8" s="57"/>
      <c r="J8" s="57"/>
      <c r="K8" s="57"/>
      <c r="L8"/>
      <c r="M8"/>
    </row>
    <row r="9" spans="1:20">
      <c r="A9" s="57"/>
      <c r="B9" s="57"/>
      <c r="C9" s="57"/>
      <c r="D9" s="68" t="s">
        <v>58</v>
      </c>
      <c r="E9" s="69">
        <f>SUM(E6:E7)</f>
        <v>3230000</v>
      </c>
      <c r="F9" s="57"/>
      <c r="G9" s="57"/>
      <c r="H9" s="57"/>
      <c r="I9" s="57"/>
      <c r="J9" s="57"/>
      <c r="K9" s="57"/>
      <c r="L9"/>
      <c r="M9"/>
    </row>
    <row r="10" spans="1:20">
      <c r="A10" s="70" t="s">
        <v>44</v>
      </c>
      <c r="B10" s="70" t="s">
        <v>45</v>
      </c>
      <c r="C10" s="70" t="s">
        <v>46</v>
      </c>
      <c r="D10" s="71"/>
      <c r="E10" s="71"/>
      <c r="F10" s="71"/>
      <c r="G10" s="71"/>
      <c r="H10" s="71"/>
      <c r="I10" s="71"/>
      <c r="J10" s="71"/>
      <c r="K10" s="71"/>
      <c r="L10"/>
      <c r="M10"/>
    </row>
    <row r="11" spans="1:20">
      <c r="A11" s="137">
        <v>12</v>
      </c>
      <c r="B11" s="57" t="s">
        <v>53</v>
      </c>
      <c r="C11" s="136">
        <v>4000</v>
      </c>
      <c r="D11" s="99">
        <v>3.9E-2</v>
      </c>
      <c r="E11" s="95">
        <f>C11*A11</f>
        <v>48000</v>
      </c>
      <c r="F11" s="64">
        <f>E11*0.1</f>
        <v>4800</v>
      </c>
      <c r="G11" s="65">
        <v>25</v>
      </c>
      <c r="H11" s="66"/>
      <c r="I11" s="66"/>
      <c r="J11" s="138">
        <v>100</v>
      </c>
      <c r="K11" s="64">
        <f>(E11-(F11/(1+D11)^G11))/((1-(1/(1+D11)^G11))/D11)*(J11/100)</f>
        <v>2923.3653109794946</v>
      </c>
      <c r="L11"/>
      <c r="M11" s="57" t="s">
        <v>161</v>
      </c>
      <c r="T11" s="67"/>
    </row>
    <row r="12" spans="1:20">
      <c r="A12" s="137">
        <v>6</v>
      </c>
      <c r="B12" s="57" t="s">
        <v>54</v>
      </c>
      <c r="C12" s="136">
        <v>20000</v>
      </c>
      <c r="D12" s="99">
        <v>3.9E-2</v>
      </c>
      <c r="E12" s="95">
        <f>C12*A12</f>
        <v>120000</v>
      </c>
      <c r="F12" s="64">
        <f>E12*0.1</f>
        <v>12000</v>
      </c>
      <c r="G12" s="65">
        <v>25</v>
      </c>
      <c r="H12" s="66"/>
      <c r="I12" s="66"/>
      <c r="J12" s="138">
        <v>100</v>
      </c>
      <c r="K12" s="64">
        <f>(E12-(F12/(1+D12)^G12))/((1-(1/(1+D12)^G12))/D12)*(J12/100)</f>
        <v>7308.4132774487352</v>
      </c>
      <c r="L12"/>
      <c r="M12" s="57" t="s">
        <v>53</v>
      </c>
      <c r="P12" s="55" t="s">
        <v>156</v>
      </c>
      <c r="T12" s="67"/>
    </row>
    <row r="13" spans="1:20">
      <c r="A13" s="137">
        <v>75</v>
      </c>
      <c r="B13" s="57" t="s">
        <v>55</v>
      </c>
      <c r="C13" s="136">
        <v>8000</v>
      </c>
      <c r="D13" s="99">
        <v>3.9E-2</v>
      </c>
      <c r="E13" s="95">
        <f>C13*A13</f>
        <v>600000</v>
      </c>
      <c r="F13" s="64">
        <f>E13*0.1</f>
        <v>60000</v>
      </c>
      <c r="G13" s="65">
        <v>25</v>
      </c>
      <c r="H13" s="66"/>
      <c r="I13" s="66"/>
      <c r="J13" s="138">
        <v>100</v>
      </c>
      <c r="K13" s="64">
        <f>(E13-(F13/(1+D13)^G13))/((1-(1/(1+D13)^G13))/D13)*(J13/100)</f>
        <v>36542.066387243678</v>
      </c>
      <c r="L13"/>
      <c r="M13" s="57" t="s">
        <v>54</v>
      </c>
      <c r="P13" s="141"/>
      <c r="T13" s="67"/>
    </row>
    <row r="14" spans="1:20">
      <c r="A14" s="137">
        <v>1</v>
      </c>
      <c r="B14" s="57" t="s">
        <v>56</v>
      </c>
      <c r="C14" s="136">
        <v>10000</v>
      </c>
      <c r="D14" s="99">
        <v>3.9E-2</v>
      </c>
      <c r="E14" s="95">
        <f>C14*A14</f>
        <v>10000</v>
      </c>
      <c r="F14" s="64">
        <f>E14*0.1</f>
        <v>1000</v>
      </c>
      <c r="G14" s="65">
        <v>30</v>
      </c>
      <c r="H14" s="66"/>
      <c r="I14" s="66"/>
      <c r="J14" s="138">
        <v>100</v>
      </c>
      <c r="K14" s="64">
        <f>(E14-(F14/(1+D14)^G14))/((1-(1/(1+D14)^G14))/D14)*(J14/100)</f>
        <v>553.16999628484098</v>
      </c>
      <c r="L14"/>
      <c r="M14" s="57" t="s">
        <v>55</v>
      </c>
      <c r="P14" s="141"/>
      <c r="T14" s="67"/>
    </row>
    <row r="15" spans="1:20">
      <c r="A15" s="137">
        <v>1</v>
      </c>
      <c r="B15" s="57" t="s">
        <v>57</v>
      </c>
      <c r="C15" s="136">
        <v>20000</v>
      </c>
      <c r="D15" s="99">
        <v>3.9E-2</v>
      </c>
      <c r="E15" s="95">
        <f>C15*A15</f>
        <v>20000</v>
      </c>
      <c r="F15" s="64">
        <f>E15*0.1</f>
        <v>2000</v>
      </c>
      <c r="G15" s="65">
        <v>30</v>
      </c>
      <c r="H15" s="66"/>
      <c r="I15" s="66"/>
      <c r="J15" s="138">
        <v>100</v>
      </c>
      <c r="K15" s="64">
        <f>(E15-(F15/(1+D15)^G15))/((1-(1/(1+D15)^G15))/D15)*(J15/100)</f>
        <v>1106.339992569682</v>
      </c>
      <c r="L15"/>
      <c r="M15" s="57" t="s">
        <v>56</v>
      </c>
      <c r="P15" s="141"/>
      <c r="T15" s="67"/>
    </row>
    <row r="16" spans="1:20" ht="15" thickBot="1">
      <c r="A16" s="57"/>
      <c r="B16" s="57"/>
      <c r="C16" s="57"/>
      <c r="D16" s="57"/>
      <c r="E16" s="96"/>
      <c r="F16" s="66"/>
      <c r="G16" s="58"/>
      <c r="H16" s="66"/>
      <c r="I16" s="58"/>
      <c r="J16" s="58"/>
      <c r="K16" s="64"/>
      <c r="L16"/>
      <c r="M16" s="57" t="s">
        <v>57</v>
      </c>
      <c r="P16" s="141"/>
      <c r="T16" s="67"/>
    </row>
    <row r="17" spans="1:20" ht="15" thickBot="1">
      <c r="A17" s="68"/>
      <c r="B17" s="68"/>
      <c r="C17" s="72"/>
      <c r="D17" s="68" t="s">
        <v>58</v>
      </c>
      <c r="E17" s="97">
        <f>SUM(E11:E16)</f>
        <v>798000</v>
      </c>
      <c r="F17" s="73"/>
      <c r="G17" s="74"/>
      <c r="H17" s="75"/>
      <c r="I17" s="75"/>
      <c r="J17" s="75"/>
      <c r="K17" s="69">
        <f>SUM(K6:K16)</f>
        <v>48433.354964526428</v>
      </c>
      <c r="L17"/>
      <c r="M17" s="55" t="s">
        <v>72</v>
      </c>
      <c r="P17" s="134">
        <f>SUM(P13:P16)</f>
        <v>0</v>
      </c>
      <c r="T17" s="67"/>
    </row>
    <row r="18" spans="1:20" ht="15">
      <c r="A18" s="59" t="s">
        <v>44</v>
      </c>
      <c r="B18" s="59" t="s">
        <v>59</v>
      </c>
      <c r="C18" s="59" t="s">
        <v>46</v>
      </c>
      <c r="D18" s="60" t="s">
        <v>92</v>
      </c>
      <c r="E18" s="98" t="s">
        <v>48</v>
      </c>
      <c r="F18" s="76" t="s">
        <v>41</v>
      </c>
      <c r="G18" s="60"/>
      <c r="H18" s="75"/>
      <c r="I18" s="60"/>
      <c r="J18" s="60"/>
      <c r="K18" s="75"/>
      <c r="M18" t="s">
        <v>162</v>
      </c>
      <c r="P18" s="55" t="s">
        <v>156</v>
      </c>
      <c r="Q18" s="55" t="s">
        <v>157</v>
      </c>
      <c r="R18" s="55" t="s">
        <v>158</v>
      </c>
      <c r="S18" s="55" t="s">
        <v>72</v>
      </c>
      <c r="T18" s="67"/>
    </row>
    <row r="19" spans="1:20">
      <c r="A19" s="137">
        <v>1</v>
      </c>
      <c r="B19" s="57" t="s">
        <v>61</v>
      </c>
      <c r="C19" s="136">
        <v>45000</v>
      </c>
      <c r="D19" s="99">
        <v>0.04</v>
      </c>
      <c r="E19" s="95">
        <f t="shared" ref="E19:E24" si="0">C19*A19</f>
        <v>45000</v>
      </c>
      <c r="F19" s="64">
        <f t="shared" ref="F19:F24" si="1">E19*0.2</f>
        <v>9000</v>
      </c>
      <c r="G19" s="65">
        <v>7</v>
      </c>
      <c r="H19" s="66"/>
      <c r="I19" s="66"/>
      <c r="J19" s="138">
        <v>50</v>
      </c>
      <c r="K19" s="64">
        <f t="shared" ref="K19:K24" si="2">(E19-(F19/(1+D19)^G19))/((1-(1/(1+D19)^G19))/D19)*(J19/100)</f>
        <v>3178.9730167110752</v>
      </c>
      <c r="M19" s="113" t="s">
        <v>159</v>
      </c>
      <c r="T19" s="67"/>
    </row>
    <row r="20" spans="1:20">
      <c r="A20" s="137">
        <v>1</v>
      </c>
      <c r="B20" s="57" t="s">
        <v>106</v>
      </c>
      <c r="C20" s="136">
        <v>45000</v>
      </c>
      <c r="D20" s="99">
        <f>$D$19</f>
        <v>0.04</v>
      </c>
      <c r="E20" s="95">
        <f t="shared" si="0"/>
        <v>45000</v>
      </c>
      <c r="F20" s="64">
        <f t="shared" si="1"/>
        <v>9000</v>
      </c>
      <c r="G20" s="65">
        <v>7</v>
      </c>
      <c r="H20" s="66"/>
      <c r="I20" s="66"/>
      <c r="J20" s="138">
        <v>50</v>
      </c>
      <c r="K20" s="64">
        <f t="shared" si="2"/>
        <v>3178.9730167110752</v>
      </c>
      <c r="M20" s="57" t="s">
        <v>61</v>
      </c>
      <c r="N20"/>
      <c r="P20" s="142"/>
      <c r="Q20" s="142"/>
      <c r="R20" s="141"/>
      <c r="S20" s="55">
        <f>P20+Q20+R20</f>
        <v>0</v>
      </c>
      <c r="T20" s="67"/>
    </row>
    <row r="21" spans="1:20" ht="15" thickBot="1">
      <c r="A21" s="137">
        <v>0</v>
      </c>
      <c r="B21" s="57" t="s">
        <v>62</v>
      </c>
      <c r="C21" s="136">
        <v>7000</v>
      </c>
      <c r="D21" s="99">
        <f>$D$19</f>
        <v>0.04</v>
      </c>
      <c r="E21" s="95">
        <f t="shared" si="0"/>
        <v>0</v>
      </c>
      <c r="F21" s="64">
        <f t="shared" si="1"/>
        <v>0</v>
      </c>
      <c r="G21" s="65">
        <v>7</v>
      </c>
      <c r="H21" s="66"/>
      <c r="I21" s="66"/>
      <c r="J21" s="138">
        <v>100</v>
      </c>
      <c r="K21" s="64">
        <f t="shared" si="2"/>
        <v>0</v>
      </c>
      <c r="M21" s="57" t="s">
        <v>106</v>
      </c>
      <c r="N21"/>
      <c r="P21" s="142"/>
      <c r="Q21" s="142"/>
      <c r="R21" s="141"/>
      <c r="S21" s="55">
        <f>P21+Q21+R21</f>
        <v>0</v>
      </c>
      <c r="T21" s="67"/>
    </row>
    <row r="22" spans="1:20" ht="15" thickBot="1">
      <c r="A22" s="137">
        <v>2</v>
      </c>
      <c r="B22" s="57" t="s">
        <v>63</v>
      </c>
      <c r="C22" s="136">
        <v>7000</v>
      </c>
      <c r="D22" s="99">
        <f>$D$19</f>
        <v>0.04</v>
      </c>
      <c r="E22" s="95">
        <f t="shared" si="0"/>
        <v>14000</v>
      </c>
      <c r="F22" s="64">
        <f t="shared" si="1"/>
        <v>2800</v>
      </c>
      <c r="G22" s="65">
        <v>7</v>
      </c>
      <c r="H22" s="66"/>
      <c r="I22" s="66"/>
      <c r="J22" s="138">
        <v>100</v>
      </c>
      <c r="K22" s="64">
        <f t="shared" si="2"/>
        <v>1978.027654842447</v>
      </c>
      <c r="M22" s="55" t="s">
        <v>72</v>
      </c>
      <c r="S22" s="134">
        <f>S20+S21</f>
        <v>0</v>
      </c>
      <c r="T22" s="67"/>
    </row>
    <row r="23" spans="1:20">
      <c r="A23" s="137">
        <v>1</v>
      </c>
      <c r="B23" s="57" t="s">
        <v>64</v>
      </c>
      <c r="C23" s="136">
        <v>4000</v>
      </c>
      <c r="D23" s="99">
        <f>$D$19</f>
        <v>0.04</v>
      </c>
      <c r="E23" s="95">
        <f t="shared" si="0"/>
        <v>4000</v>
      </c>
      <c r="F23" s="64">
        <f t="shared" si="1"/>
        <v>800</v>
      </c>
      <c r="G23" s="65">
        <v>10</v>
      </c>
      <c r="H23" s="66"/>
      <c r="I23" s="66"/>
      <c r="J23" s="138">
        <v>100</v>
      </c>
      <c r="K23" s="64">
        <f t="shared" si="2"/>
        <v>426.53102185643644</v>
      </c>
      <c r="M23" s="114" t="s">
        <v>160</v>
      </c>
      <c r="T23" s="67"/>
    </row>
    <row r="24" spans="1:20">
      <c r="A24" s="137">
        <v>1</v>
      </c>
      <c r="B24" s="57" t="s">
        <v>65</v>
      </c>
      <c r="C24" s="136">
        <v>6000</v>
      </c>
      <c r="D24" s="99">
        <f>$D$19</f>
        <v>0.04</v>
      </c>
      <c r="E24" s="95">
        <f t="shared" si="0"/>
        <v>6000</v>
      </c>
      <c r="F24" s="64">
        <f t="shared" si="1"/>
        <v>1200</v>
      </c>
      <c r="G24" s="65">
        <v>10</v>
      </c>
      <c r="H24" s="66"/>
      <c r="I24" s="66"/>
      <c r="J24" s="138">
        <v>100</v>
      </c>
      <c r="K24" s="64">
        <f t="shared" si="2"/>
        <v>639.79653278465469</v>
      </c>
      <c r="M24" s="57" t="s">
        <v>62</v>
      </c>
      <c r="N24"/>
      <c r="P24" s="141"/>
      <c r="Q24" s="141"/>
      <c r="R24" s="141"/>
      <c r="S24" s="55">
        <f>P24+Q24+R24</f>
        <v>0</v>
      </c>
      <c r="T24" s="67"/>
    </row>
    <row r="25" spans="1:20">
      <c r="A25" s="57"/>
      <c r="B25" s="57"/>
      <c r="C25" s="57"/>
      <c r="D25" s="100"/>
      <c r="E25" s="66"/>
      <c r="F25" s="66"/>
      <c r="G25" s="58"/>
      <c r="H25" s="58"/>
      <c r="I25" s="58"/>
      <c r="J25" s="58"/>
      <c r="K25" s="64"/>
      <c r="L25"/>
      <c r="M25" s="57" t="s">
        <v>63</v>
      </c>
      <c r="N25"/>
      <c r="P25" s="141"/>
      <c r="Q25" s="141"/>
      <c r="R25" s="141"/>
      <c r="S25" s="55">
        <f t="shared" ref="S25:S27" si="3">P25+Q25+R25</f>
        <v>0</v>
      </c>
      <c r="T25" s="67"/>
    </row>
    <row r="26" spans="1:20">
      <c r="A26" s="57"/>
      <c r="B26" s="57"/>
      <c r="C26" s="57"/>
      <c r="D26" s="101" t="s">
        <v>66</v>
      </c>
      <c r="E26" s="64">
        <f>SUM(E19:E25)</f>
        <v>114000</v>
      </c>
      <c r="F26" s="78"/>
      <c r="G26" s="79"/>
      <c r="H26" s="66"/>
      <c r="I26" s="66"/>
      <c r="J26" s="66"/>
      <c r="K26" s="64">
        <f>SUM(K19:K25)</f>
        <v>9402.3012429056889</v>
      </c>
      <c r="L26"/>
      <c r="M26" s="57" t="s">
        <v>64</v>
      </c>
      <c r="N26"/>
      <c r="O26" s="67"/>
      <c r="P26" s="143"/>
      <c r="Q26" s="143"/>
      <c r="R26" s="143"/>
      <c r="S26" s="55">
        <f t="shared" si="3"/>
        <v>0</v>
      </c>
      <c r="T26" s="67"/>
    </row>
    <row r="27" spans="1:20" ht="16" thickBot="1">
      <c r="A27" s="80" t="s">
        <v>67</v>
      </c>
      <c r="B27" s="70" t="s">
        <v>32</v>
      </c>
      <c r="C27" s="70" t="s">
        <v>46</v>
      </c>
      <c r="D27" s="102" t="s">
        <v>92</v>
      </c>
      <c r="E27" s="76" t="s">
        <v>48</v>
      </c>
      <c r="F27" s="76" t="s">
        <v>41</v>
      </c>
      <c r="G27" s="76"/>
      <c r="H27" s="81"/>
      <c r="I27" s="76"/>
      <c r="J27" s="76"/>
      <c r="K27" s="81"/>
      <c r="L27"/>
      <c r="M27" s="57" t="s">
        <v>65</v>
      </c>
      <c r="N27"/>
      <c r="O27" s="67"/>
      <c r="P27" s="143"/>
      <c r="Q27" s="143"/>
      <c r="R27" s="143"/>
      <c r="S27" s="55">
        <f t="shared" si="3"/>
        <v>0</v>
      </c>
      <c r="T27" s="67"/>
    </row>
    <row r="28" spans="1:20" ht="15" thickBot="1">
      <c r="A28" s="137">
        <v>8</v>
      </c>
      <c r="B28" s="57" t="s">
        <v>68</v>
      </c>
      <c r="C28" s="140">
        <v>1200</v>
      </c>
      <c r="D28" s="99">
        <f>$D$19</f>
        <v>0.04</v>
      </c>
      <c r="E28" s="95">
        <f>C28*A28</f>
        <v>9600</v>
      </c>
      <c r="F28" s="64">
        <f>E28*0.38</f>
        <v>3648</v>
      </c>
      <c r="G28" s="65">
        <v>10</v>
      </c>
      <c r="H28" s="66"/>
      <c r="I28" s="66"/>
      <c r="J28" s="138">
        <v>100</v>
      </c>
      <c r="K28" s="64">
        <f>(E28-(F28/(1+D28)^G28))/((1-(1/(1+D28)^G28))/D28)*(J28/100)</f>
        <v>879.74770065297173</v>
      </c>
      <c r="L28"/>
      <c r="M28" s="57" t="s">
        <v>72</v>
      </c>
      <c r="S28" s="134">
        <f>SUM(S24:S27)</f>
        <v>0</v>
      </c>
      <c r="T28" s="67"/>
    </row>
    <row r="29" spans="1:20">
      <c r="A29" s="139">
        <f>A33/'SE L'!E4</f>
        <v>18</v>
      </c>
      <c r="B29" s="57" t="s">
        <v>69</v>
      </c>
      <c r="C29" s="140">
        <v>3000</v>
      </c>
      <c r="D29" s="99">
        <f>$D$19</f>
        <v>0.04</v>
      </c>
      <c r="E29" s="95">
        <f>C29*A29</f>
        <v>54000</v>
      </c>
      <c r="F29" s="64">
        <f>E29*0.38</f>
        <v>20520</v>
      </c>
      <c r="G29" s="65">
        <v>4</v>
      </c>
      <c r="H29" s="66"/>
      <c r="I29" s="66"/>
      <c r="J29" s="138">
        <v>100</v>
      </c>
      <c r="K29" s="64">
        <f>(E29-(F29/(1+D29)^G29))/((1-(1/(1+D29)^G29))/D29)*(J29/100)</f>
        <v>10044.206718813575</v>
      </c>
      <c r="L29"/>
      <c r="T29" s="67"/>
    </row>
    <row r="30" spans="1:20">
      <c r="A30" s="82">
        <f>SUM(A28:A29)</f>
        <v>26</v>
      </c>
      <c r="B30" s="83" t="s">
        <v>79</v>
      </c>
      <c r="C30" s="57"/>
      <c r="D30" s="100"/>
      <c r="E30" s="57"/>
      <c r="F30" s="57"/>
      <c r="G30" s="57"/>
      <c r="H30" s="57"/>
      <c r="I30" s="57"/>
      <c r="J30" s="57"/>
      <c r="K30" s="61"/>
      <c r="L30"/>
    </row>
    <row r="31" spans="1:20">
      <c r="A31" s="57"/>
      <c r="B31" s="57"/>
      <c r="C31" s="57"/>
      <c r="D31" s="101" t="s">
        <v>66</v>
      </c>
      <c r="E31" s="64">
        <f>SUM(E28:E29)</f>
        <v>63600</v>
      </c>
      <c r="F31" s="66"/>
      <c r="G31" s="66"/>
      <c r="H31" s="66">
        <f>SUM(H28:H29)</f>
        <v>0</v>
      </c>
      <c r="I31" s="66">
        <f>SUM(I28:I29)</f>
        <v>0</v>
      </c>
      <c r="J31" s="66"/>
      <c r="K31" s="64">
        <f>SUM(K28:K29)</f>
        <v>10923.954419466547</v>
      </c>
      <c r="T31" s="67"/>
    </row>
    <row r="32" spans="1:20">
      <c r="A32" s="80" t="s">
        <v>67</v>
      </c>
      <c r="B32" s="70" t="s">
        <v>78</v>
      </c>
      <c r="C32" s="80" t="s">
        <v>46</v>
      </c>
      <c r="D32" s="102" t="s">
        <v>60</v>
      </c>
      <c r="E32" s="76" t="s">
        <v>48</v>
      </c>
      <c r="F32" s="76" t="s">
        <v>41</v>
      </c>
      <c r="G32" s="84"/>
      <c r="H32" s="84"/>
      <c r="I32" s="84"/>
      <c r="J32" s="84"/>
      <c r="K32" s="84" t="s">
        <v>85</v>
      </c>
    </row>
    <row r="33" spans="1:19">
      <c r="A33" s="58">
        <f>'SE L'!C4</f>
        <v>360</v>
      </c>
      <c r="B33" s="57" t="s">
        <v>70</v>
      </c>
      <c r="C33" s="140">
        <v>1500</v>
      </c>
      <c r="D33" s="99">
        <f>$D$19</f>
        <v>0.04</v>
      </c>
      <c r="E33" s="95">
        <f>C33*A33</f>
        <v>540000</v>
      </c>
      <c r="F33" s="64">
        <f>E33*0.38</f>
        <v>205200</v>
      </c>
      <c r="G33" s="35"/>
      <c r="H33" s="85"/>
      <c r="I33" s="85"/>
      <c r="J33" s="85"/>
      <c r="K33" s="64">
        <f>(((E33+F33+((E33+F33)/7))/2)*D33)</f>
        <v>17033.142857142859</v>
      </c>
      <c r="L33" s="108" t="s">
        <v>149</v>
      </c>
    </row>
    <row r="34" spans="1:19">
      <c r="A34" s="105">
        <f>'SE L'!$G$5</f>
        <v>54</v>
      </c>
      <c r="B34" s="86" t="s">
        <v>71</v>
      </c>
      <c r="C34" s="140">
        <v>1200</v>
      </c>
      <c r="D34" s="99">
        <f>$D$19</f>
        <v>0.04</v>
      </c>
      <c r="E34" s="95">
        <f>C34*A34</f>
        <v>64800</v>
      </c>
      <c r="F34" s="64">
        <f>E34*0.38</f>
        <v>24624</v>
      </c>
      <c r="G34" s="35"/>
      <c r="H34" s="87"/>
      <c r="I34" s="87"/>
      <c r="J34" s="87"/>
      <c r="K34" s="64">
        <f>(((E34+F34+((E34+F34)/7))/2)*D34)</f>
        <v>2043.977142857143</v>
      </c>
    </row>
    <row r="35" spans="1:19" ht="14.25" customHeight="1">
      <c r="A35" s="82">
        <f>A33+(A34*0.75)</f>
        <v>400.5</v>
      </c>
      <c r="B35" s="83" t="s">
        <v>79</v>
      </c>
      <c r="C35" s="61"/>
      <c r="D35" s="62"/>
      <c r="E35" s="63"/>
      <c r="F35" s="64"/>
      <c r="G35" s="65"/>
      <c r="H35" s="65"/>
      <c r="I35" s="65"/>
      <c r="J35" s="65"/>
      <c r="K35" s="64"/>
    </row>
    <row r="36" spans="1:19">
      <c r="A36" s="57"/>
      <c r="B36" s="57"/>
      <c r="C36" s="57"/>
      <c r="D36" s="77" t="s">
        <v>66</v>
      </c>
      <c r="E36" s="64">
        <f>SUM(E33:E34)</f>
        <v>604800</v>
      </c>
      <c r="F36" s="64">
        <f>SUM(F33:F34)</f>
        <v>229824</v>
      </c>
      <c r="G36" s="57"/>
      <c r="H36" s="88"/>
      <c r="I36" s="88"/>
      <c r="J36" s="88"/>
      <c r="K36" s="64">
        <f>SUM(H33:K34)</f>
        <v>19077.120000000003</v>
      </c>
    </row>
    <row r="37" spans="1:19">
      <c r="A37" s="57"/>
      <c r="B37" s="57"/>
      <c r="C37" s="57"/>
      <c r="D37" s="77"/>
      <c r="E37" s="89"/>
      <c r="F37" s="89"/>
      <c r="G37" s="89"/>
      <c r="H37" s="89"/>
      <c r="I37" s="89"/>
      <c r="J37" s="89"/>
      <c r="K37" s="64"/>
    </row>
    <row r="38" spans="1:19" ht="15" thickBot="1">
      <c r="A38" s="35"/>
      <c r="B38" s="35"/>
      <c r="C38" s="35"/>
      <c r="D38" s="77" t="s">
        <v>72</v>
      </c>
      <c r="E38" s="90">
        <f>E9+E17+E26+E31+E36</f>
        <v>4810400</v>
      </c>
      <c r="F38" s="89"/>
      <c r="G38" s="89"/>
      <c r="H38" s="89"/>
      <c r="I38" s="89"/>
      <c r="J38" s="89"/>
      <c r="K38" s="90">
        <f>K17+K26+K36</f>
        <v>76912.776207432122</v>
      </c>
    </row>
    <row r="39" spans="1:19" ht="15" thickTop="1">
      <c r="A39" s="35"/>
      <c r="B39" s="35"/>
      <c r="C39" s="35"/>
      <c r="D39" s="57"/>
      <c r="E39" s="57"/>
      <c r="F39" s="57"/>
      <c r="G39" s="57"/>
      <c r="H39" s="57"/>
      <c r="I39" s="57"/>
      <c r="J39" s="57"/>
      <c r="K39" s="57"/>
    </row>
    <row r="40" spans="1:19">
      <c r="A40" s="35" t="s">
        <v>117</v>
      </c>
      <c r="B40" s="35"/>
      <c r="C40" s="35"/>
      <c r="D40" s="35"/>
      <c r="E40" s="35"/>
      <c r="F40" s="35"/>
      <c r="G40" s="35"/>
      <c r="H40" s="35"/>
      <c r="I40" s="35"/>
      <c r="J40" s="35"/>
      <c r="K40" s="57"/>
    </row>
    <row r="41" spans="1:19">
      <c r="A41" s="91" t="s">
        <v>107</v>
      </c>
      <c r="B41" s="35"/>
      <c r="C41" s="35"/>
      <c r="D41" s="35"/>
      <c r="E41" s="35"/>
      <c r="F41" s="35"/>
      <c r="G41" s="35"/>
      <c r="H41" s="35"/>
      <c r="I41" s="35"/>
      <c r="J41" s="35"/>
      <c r="K41" s="57"/>
    </row>
    <row r="42" spans="1:19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57"/>
    </row>
    <row r="43" spans="1:19">
      <c r="A43" s="91"/>
      <c r="B43" s="35"/>
      <c r="C43" s="35"/>
      <c r="D43" s="92"/>
      <c r="E43" s="57"/>
      <c r="F43" s="57"/>
      <c r="G43" s="57"/>
      <c r="H43" s="57"/>
      <c r="I43" s="57"/>
      <c r="J43" s="57"/>
      <c r="K43" s="57"/>
    </row>
    <row r="44" spans="1:19">
      <c r="A44" s="35"/>
      <c r="B44" s="35"/>
      <c r="C44" s="35"/>
      <c r="D44" s="57"/>
      <c r="E44" s="57"/>
      <c r="F44" s="57"/>
      <c r="G44" s="57"/>
      <c r="H44" s="57"/>
      <c r="I44" s="57"/>
      <c r="J44" s="57"/>
      <c r="K44" s="57"/>
    </row>
    <row r="45" spans="1:19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</row>
    <row r="46" spans="1:19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</row>
    <row r="47" spans="1:19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/>
      <c r="M47"/>
      <c r="N47"/>
      <c r="O47"/>
      <c r="P47"/>
      <c r="Q47"/>
      <c r="R47"/>
      <c r="S47"/>
    </row>
    <row r="48" spans="1:19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/>
      <c r="M48"/>
      <c r="N48"/>
      <c r="O48"/>
      <c r="P48"/>
      <c r="Q48"/>
      <c r="R48"/>
      <c r="S48"/>
    </row>
    <row r="49" spans="1:19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/>
      <c r="M49"/>
      <c r="N49"/>
      <c r="O49"/>
      <c r="P49"/>
      <c r="Q49"/>
      <c r="R49"/>
      <c r="S49"/>
    </row>
    <row r="50" spans="1:19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/>
      <c r="M50"/>
      <c r="N50"/>
      <c r="O50"/>
      <c r="P50"/>
      <c r="Q50"/>
      <c r="R50"/>
      <c r="S50"/>
    </row>
    <row r="51" spans="1:19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/>
      <c r="M51"/>
      <c r="N51"/>
      <c r="O51"/>
      <c r="P51"/>
      <c r="Q51"/>
      <c r="R51"/>
      <c r="S51"/>
    </row>
    <row r="52" spans="1:19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/>
      <c r="M52"/>
      <c r="N52"/>
      <c r="O52"/>
      <c r="P52"/>
      <c r="Q52"/>
      <c r="R52"/>
      <c r="S52"/>
    </row>
    <row r="53" spans="1:19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/>
      <c r="M53"/>
      <c r="N53"/>
      <c r="O53"/>
      <c r="P53"/>
      <c r="Q53"/>
      <c r="R53"/>
      <c r="S53"/>
    </row>
    <row r="54" spans="1:19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/>
      <c r="M54"/>
      <c r="N54"/>
      <c r="O54"/>
      <c r="P54"/>
      <c r="Q54"/>
      <c r="R54"/>
      <c r="S54"/>
    </row>
    <row r="55" spans="1:19">
      <c r="L55"/>
      <c r="M55"/>
      <c r="N55"/>
      <c r="O55"/>
      <c r="P55"/>
      <c r="Q55"/>
      <c r="R55"/>
      <c r="S55"/>
    </row>
    <row r="56" spans="1:19">
      <c r="L56"/>
      <c r="M56"/>
      <c r="N56"/>
      <c r="O56"/>
      <c r="P56"/>
      <c r="Q56"/>
      <c r="R56"/>
      <c r="S56"/>
    </row>
    <row r="57" spans="1:19">
      <c r="L57"/>
      <c r="M57"/>
      <c r="N57"/>
      <c r="O57"/>
      <c r="P57"/>
      <c r="Q57"/>
      <c r="R57"/>
      <c r="S57"/>
    </row>
    <row r="58" spans="1:19">
      <c r="L58"/>
      <c r="M58"/>
      <c r="N58"/>
      <c r="O58"/>
      <c r="P58"/>
      <c r="Q58"/>
      <c r="R58"/>
      <c r="S58"/>
    </row>
    <row r="59" spans="1:19">
      <c r="L59"/>
      <c r="M59"/>
      <c r="N59"/>
      <c r="O59"/>
      <c r="P59"/>
      <c r="Q59"/>
      <c r="R59"/>
      <c r="S59"/>
    </row>
    <row r="60" spans="1:19">
      <c r="L60"/>
      <c r="M60"/>
      <c r="N60"/>
      <c r="O60"/>
      <c r="P60"/>
      <c r="Q60"/>
      <c r="R60"/>
      <c r="S60"/>
    </row>
    <row r="61" spans="1:19">
      <c r="L61"/>
      <c r="M61"/>
      <c r="N61"/>
      <c r="O61"/>
      <c r="P61"/>
      <c r="Q61"/>
      <c r="R61"/>
      <c r="S61"/>
    </row>
    <row r="62" spans="1:19">
      <c r="L62"/>
      <c r="M62"/>
      <c r="N62"/>
      <c r="O62"/>
      <c r="P62"/>
      <c r="Q62"/>
      <c r="R62"/>
      <c r="S62"/>
    </row>
  </sheetData>
  <mergeCells count="2">
    <mergeCell ref="C1:G1"/>
    <mergeCell ref="C2:G2"/>
  </mergeCells>
  <phoneticPr fontId="0" type="noConversion"/>
  <hyperlinks>
    <hyperlink ref="L33" location="'SE L'!A1" display="Go Back Original Sheet" xr:uid="{4C4983C8-4F08-4BA0-A581-AEA62114F2A4}"/>
  </hyperlinks>
  <printOptions horizontalCentered="1"/>
  <pageMargins left="0.75" right="0.75" top="0.75" bottom="0.75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SE L</vt:lpstr>
      <vt:lpstr>SE L INV</vt:lpstr>
      <vt:lpstr>_2._Hired_labor</vt:lpstr>
      <vt:lpstr>'SE L'!Print_Area</vt:lpstr>
      <vt:lpstr>'SE L INV'!Print_Area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Trent Teegerstrom</dc:creator>
  <cp:lastModifiedBy>Lee Martinez</cp:lastModifiedBy>
  <cp:lastPrinted>2010-01-06T19:37:52Z</cp:lastPrinted>
  <dcterms:created xsi:type="dcterms:W3CDTF">1996-07-26T15:06:23Z</dcterms:created>
  <dcterms:modified xsi:type="dcterms:W3CDTF">2025-03-14T16:32:16Z</dcterms:modified>
</cp:coreProperties>
</file>