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omments1.xml" ContentType="application/vnd.openxmlformats-officedocument.spreadsheetml.comments+xml"/>
  <Default Extension="jpeg" ContentType="image/jpeg"/>
  <Default Extension="vml" ContentType="application/vnd.openxmlformats-officedocument.vmlDrawin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0" yWindow="-60" windowWidth="17540" windowHeight="12360" tabRatio="500"/>
  </bookViews>
  <sheets>
    <sheet name="Report" sheetId="1" r:id="rId1"/>
    <sheet name="CAx Table" sheetId="2" r:id="rId2"/>
    <sheet name="Cax Graph" sheetId="3" r:id="rId3"/>
    <sheet name="Crop Table" sheetId="4" r:id="rId4"/>
  </sheets>
  <externalReferences>
    <externalReference r:id="rId5"/>
  </externalReferences>
  <definedNames>
    <definedName name="_xlnm.Print_Area" localSheetId="0">Report!$A$1:$F$144</definedName>
    <definedName name="SAR">Report!$C$22:$D$24</definedName>
    <definedName name="Z_21300D53_AFA3_488E_A98B_4772AFCC0BD2_.wvu.PrintArea" localSheetId="0" hidden="1">Report!$A$1:$F$144</definedName>
    <definedName name="Z_92E610E7_D677_420E_9D3B_271A47AB100A_.wvu.PrintArea" localSheetId="0" hidden="1">Report!$A$1:$F$144</definedName>
    <definedName name="Z_EA60625F_3B45_4C74_B661_51EFBE97F615_.wvu.PrintArea" localSheetId="0" hidden="1">Report!$A$1:$F$144</definedName>
    <definedName name="Z_FB1F9FBF_1FD4_45AA_A41C_E4FEA3525609_.wvu.PrintArea" localSheetId="0" hidden="1">Report!$A$1:$F$144</definedName>
  </definedNames>
  <calcPr calcId="130406"/>
  <customWorkbookViews>
    <customWorkbookView name="Frank Sholedice - Personal View" guid="{21300D53-AFA3-488E-A98B-4772AFCC0BD2}" mergeInterval="0" personalView="1" xWindow="10" yWindow="102" windowWidth="955" windowHeight="975" tabRatio="500" activeSheetId="3"/>
    <customWorkbookView name="rflynn - Personal View" guid="{EA60625F-3B45-4C74-B661-51EFBE97F615}" mergeInterval="0" personalView="1" maximized="1" xWindow="1" yWindow="1" windowWidth="1280" windowHeight="606" tabRatio="500" activeSheetId="3" showFormulaBar="0" showComments="commIndAndComment"/>
  </customWorkbookViews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C38" i="3"/>
  <c r="C39"/>
  <c r="M32" i="2"/>
  <c r="J32"/>
  <c r="C32"/>
  <c r="L32"/>
  <c r="K32"/>
  <c r="I32"/>
  <c r="E32"/>
  <c r="H32"/>
  <c r="G32"/>
  <c r="D32"/>
  <c r="F32"/>
  <c r="B32"/>
  <c r="X7" i="1"/>
  <c r="E22"/>
  <c r="E24"/>
  <c r="E23"/>
  <c r="Y6"/>
  <c r="C56"/>
  <c r="C41"/>
  <c r="D30"/>
  <c r="D29"/>
  <c r="E55"/>
  <c r="E54"/>
  <c r="E53"/>
  <c r="E52"/>
  <c r="E51"/>
  <c r="E56"/>
  <c r="E41"/>
  <c r="E40"/>
  <c r="E39"/>
  <c r="E38"/>
  <c r="E35"/>
  <c r="E34"/>
  <c r="E33"/>
  <c r="E32"/>
  <c r="E30"/>
  <c r="E29"/>
  <c r="E17"/>
  <c r="E16"/>
  <c r="E14"/>
  <c r="U5"/>
  <c r="C29"/>
  <c r="U4"/>
  <c r="E46"/>
  <c r="E48"/>
  <c r="D46"/>
  <c r="D48"/>
  <c r="L47"/>
  <c r="C19"/>
  <c r="C18"/>
  <c r="Q13"/>
  <c r="U3"/>
  <c r="AA3"/>
  <c r="C36"/>
  <c r="C30"/>
  <c r="C26"/>
  <c r="Q14"/>
  <c r="BB65"/>
  <c r="AO65"/>
  <c r="BQ65"/>
  <c r="AC65"/>
  <c r="BF65"/>
  <c r="BE65"/>
  <c r="AG65"/>
  <c r="BA65"/>
  <c r="AX65"/>
  <c r="AQ65"/>
  <c r="X65"/>
  <c r="R13"/>
  <c r="AE65"/>
  <c r="AZ65"/>
  <c r="AH65"/>
  <c r="Z65"/>
  <c r="AB65"/>
  <c r="BO65"/>
  <c r="AM65"/>
  <c r="T65"/>
  <c r="AR65"/>
  <c r="BL65"/>
  <c r="BP65"/>
  <c r="BK65"/>
  <c r="BH65"/>
  <c r="AY65"/>
  <c r="BC65"/>
  <c r="U6"/>
  <c r="AB3"/>
  <c r="T13"/>
  <c r="AL68"/>
  <c r="S65"/>
  <c r="AN65"/>
  <c r="AI65"/>
  <c r="AV65"/>
  <c r="AS65"/>
  <c r="AL65"/>
  <c r="AD65"/>
  <c r="AT65"/>
  <c r="AU65"/>
  <c r="BD65"/>
  <c r="AP65"/>
  <c r="AA65"/>
  <c r="BG65"/>
  <c r="AF65"/>
  <c r="U65"/>
  <c r="AK65"/>
  <c r="Y65"/>
  <c r="BJ65"/>
  <c r="BM65"/>
  <c r="W65"/>
  <c r="AJ65"/>
  <c r="R65"/>
  <c r="V65"/>
  <c r="BN65"/>
  <c r="BI65"/>
  <c r="AW65"/>
  <c r="BC68"/>
  <c r="AE68"/>
  <c r="BH68"/>
  <c r="AA68"/>
  <c r="AR68"/>
  <c r="BB68"/>
  <c r="X68"/>
  <c r="T14"/>
  <c r="AV68"/>
  <c r="BG68"/>
  <c r="BL68"/>
  <c r="BN68"/>
  <c r="AD68"/>
  <c r="C27"/>
  <c r="BQ68"/>
  <c r="V68"/>
  <c r="W68"/>
  <c r="AY68"/>
  <c r="AK68"/>
  <c r="Y68"/>
  <c r="AJ68"/>
  <c r="AB68"/>
  <c r="BM68"/>
  <c r="AM68"/>
  <c r="AQ68"/>
  <c r="AC68"/>
  <c r="BO68"/>
  <c r="AI68"/>
  <c r="BP68"/>
  <c r="T68"/>
  <c r="BA68"/>
  <c r="BD68"/>
  <c r="BF68"/>
  <c r="AS68"/>
  <c r="S68"/>
  <c r="BJ68"/>
  <c r="AT68"/>
  <c r="AP68"/>
  <c r="AU68"/>
  <c r="U68"/>
  <c r="R68"/>
  <c r="AN68"/>
  <c r="AF68"/>
  <c r="AH68"/>
  <c r="BE68"/>
  <c r="BI68"/>
  <c r="AO68"/>
  <c r="BK68"/>
  <c r="AW68"/>
  <c r="AX68"/>
  <c r="AZ68"/>
  <c r="AG68"/>
  <c r="Z68"/>
</calcChain>
</file>

<file path=xl/comments1.xml><?xml version="1.0" encoding="utf-8"?>
<comments xmlns="http://schemas.openxmlformats.org/spreadsheetml/2006/main">
  <authors>
    <author>rflynn</author>
  </authors>
  <commentList>
    <comment ref="B27" authorId="0">
      <text>
        <r>
          <rPr>
            <b/>
            <sz val="8"/>
            <color indexed="81"/>
            <rFont val="Tahoma"/>
            <family val="2"/>
          </rPr>
          <t>rflynn:</t>
        </r>
        <r>
          <rPr>
            <sz val="8"/>
            <color indexed="81"/>
            <rFont val="Tahoma"/>
            <family val="2"/>
          </rPr>
          <t xml:space="preserve">
Be sure to view cell D37 in the Cax Graph tab to fine tune the adjusted SAR.</t>
        </r>
      </text>
    </comment>
    <comment ref="C27" authorId="0">
      <text>
        <r>
          <rPr>
            <b/>
            <sz val="8"/>
            <color indexed="81"/>
            <rFont val="Times New Roman"/>
            <family val="1"/>
          </rPr>
          <t>If an error returned be sure cell C35 has a valid value.</t>
        </r>
      </text>
    </comment>
  </commentList>
</comments>
</file>

<file path=xl/comments2.xml><?xml version="1.0" encoding="utf-8"?>
<comments xmlns="http://schemas.openxmlformats.org/spreadsheetml/2006/main">
  <authors>
    <author>rflynn</author>
  </authors>
  <commentList>
    <comment ref="D42" authorId="0">
      <text>
        <r>
          <rPr>
            <sz val="8"/>
            <color indexed="81"/>
            <rFont val="Tahoma"/>
            <family val="2"/>
          </rPr>
          <t>Enter estimated Ca</t>
        </r>
        <r>
          <rPr>
            <sz val="4"/>
            <color indexed="81"/>
            <rFont val="Tahoma"/>
            <family val="2"/>
          </rPr>
          <t>x</t>
        </r>
        <r>
          <rPr>
            <sz val="8"/>
            <color indexed="81"/>
            <rFont val="Tahoma"/>
            <family val="2"/>
          </rPr>
          <t xml:space="preserve"> value from above graph after moving the red lines to their appropriate locations. Leave blank if using lookup table.</t>
        </r>
      </text>
    </comment>
  </commentList>
</comments>
</file>

<file path=xl/sharedStrings.xml><?xml version="1.0" encoding="utf-8"?>
<sst xmlns="http://schemas.openxmlformats.org/spreadsheetml/2006/main" count="2678" uniqueCount="510">
  <si>
    <t>Chloride (Cl)</t>
  </si>
  <si>
    <t>Sprinkler Irrigation</t>
  </si>
  <si>
    <t>Potassium (K)</t>
  </si>
  <si>
    <r>
      <t>Sodium (</t>
    </r>
    <r>
      <rPr>
        <b/>
        <i/>
        <sz val="11"/>
        <color indexed="8"/>
        <rFont val="Times New Roman"/>
        <family val="1"/>
      </rPr>
      <t>Sprinkler Irrigation</t>
    </r>
    <r>
      <rPr>
        <b/>
        <sz val="11"/>
        <color indexed="8"/>
        <rFont val="Times New Roman"/>
        <family val="1"/>
      </rPr>
      <t>)</t>
    </r>
  </si>
  <si>
    <r>
      <t>Sodium (</t>
    </r>
    <r>
      <rPr>
        <b/>
        <i/>
        <sz val="11"/>
        <color indexed="8"/>
        <rFont val="Times New Roman"/>
        <family val="1"/>
      </rPr>
      <t>Flood Irrigation</t>
    </r>
    <r>
      <rPr>
        <b/>
        <sz val="11"/>
        <color indexed="8"/>
        <rFont val="Times New Roman"/>
        <family val="1"/>
      </rPr>
      <t>)</t>
    </r>
  </si>
  <si>
    <r>
      <t>Bicarbonate (HCO</t>
    </r>
    <r>
      <rPr>
        <b/>
        <vertAlign val="sub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)</t>
    </r>
  </si>
  <si>
    <r>
      <t>HCO</t>
    </r>
    <r>
      <rPr>
        <b/>
        <vertAlign val="sub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/Ca ratio</t>
    </r>
  </si>
  <si>
    <r>
      <t>Sulfate (SO</t>
    </r>
    <r>
      <rPr>
        <b/>
        <vertAlign val="subscript"/>
        <sz val="11"/>
        <color indexed="8"/>
        <rFont val="Times New Roman"/>
        <family val="1"/>
      </rPr>
      <t>4</t>
    </r>
    <r>
      <rPr>
        <b/>
        <sz val="11"/>
        <color indexed="8"/>
        <rFont val="Times New Roman"/>
        <family val="1"/>
      </rPr>
      <t>)</t>
    </r>
  </si>
  <si>
    <r>
      <t>Nitrate (NO</t>
    </r>
    <r>
      <rPr>
        <b/>
        <vertAlign val="sub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)</t>
    </r>
  </si>
  <si>
    <t>SM 4500-Cl_D</t>
  </si>
  <si>
    <t>EPA 200.7</t>
  </si>
  <si>
    <t>EPA 353.2</t>
  </si>
  <si>
    <t>SM 2540C</t>
  </si>
  <si>
    <t>SM 4500-SO4_E</t>
  </si>
  <si>
    <t>EPA 150.1</t>
  </si>
  <si>
    <t>SM 2320B</t>
  </si>
  <si>
    <t>NUTRIENT STATUS PER ACRE INCH</t>
  </si>
  <si>
    <t>count/ml</t>
  </si>
  <si>
    <t>Estimate Consumptive Use + Leaching Fraction (acre-inches)</t>
  </si>
  <si>
    <t>http://aces.nmsu.edu/county/</t>
  </si>
  <si>
    <t>Please consult your local CES office</t>
  </si>
  <si>
    <t>ICP</t>
  </si>
  <si>
    <t>Plugging Potential for drip irrigation systems after Bucks et al., 1979.</t>
  </si>
  <si>
    <r>
      <t>Suggested Leaching Fraction for Selected Crop or Soil EC</t>
    </r>
    <r>
      <rPr>
        <b/>
        <sz val="8"/>
        <color indexed="8"/>
        <rFont val="Times New Roman"/>
        <family val="1"/>
      </rPr>
      <t>e</t>
    </r>
    <r>
      <rPr>
        <b/>
        <sz val="10"/>
        <color indexed="8"/>
        <rFont val="Times New Roman"/>
        <family val="1"/>
      </rPr>
      <t xml:space="preserve"> and Irrigation Frequency</t>
    </r>
  </si>
  <si>
    <t>SM 2510B</t>
  </si>
  <si>
    <t>tomatoe; Mora</t>
  </si>
  <si>
    <t>tomatoe; Mountainair</t>
  </si>
  <si>
    <t>tomatoe; Socorro</t>
  </si>
  <si>
    <t>tree farm; Aztec</t>
  </si>
  <si>
    <t>watermelon, spring plant; Roswell</t>
  </si>
  <si>
    <t>watermelon, spring plant; Deming</t>
  </si>
  <si>
    <t>wheat, winter, grain; Alamogordo</t>
  </si>
  <si>
    <t>wheat, winter, grain; Artesia</t>
  </si>
  <si>
    <t>wheat, winter, grain; Aztec</t>
  </si>
  <si>
    <t>wheat, winter, grain; Carlsbad</t>
  </si>
  <si>
    <t>wheat, winter, grain; Clayton</t>
  </si>
  <si>
    <t>wheat, winter, grain; Crownpoint</t>
  </si>
  <si>
    <t>wheat, winter, grain; Datil</t>
  </si>
  <si>
    <t>wheat, winter, grain; Deming</t>
  </si>
  <si>
    <t>wheat, winter, grain; Estancia</t>
  </si>
  <si>
    <t>wheat, winter, grain; Ft. Sumner</t>
  </si>
  <si>
    <t>wheat, winter, grain; Gallup</t>
  </si>
  <si>
    <t>wheat, winter, grain; Las Cruces</t>
  </si>
  <si>
    <t>pasture, cool season grass; Espanola</t>
  </si>
  <si>
    <t>wheat, winter, grain; Roy</t>
  </si>
  <si>
    <t>wheat, winter, grain; Santa Rosa</t>
  </si>
  <si>
    <t>wheat, winter, grain; Silver City</t>
  </si>
  <si>
    <t>wheat, winter, grain; Taos</t>
  </si>
  <si>
    <t>wheat, winter, grain; TorC</t>
  </si>
  <si>
    <t>wheat, winter, grain; Tucumcari</t>
  </si>
  <si>
    <t>wheat, winter, graze out; Clayton</t>
  </si>
  <si>
    <t>wheat, winter, graze out; Deming</t>
  </si>
  <si>
    <t>wheat, winter, graze out; Las Vegas</t>
  </si>
  <si>
    <t>wheat, winter, graze out; Mora</t>
  </si>
  <si>
    <t>wheat, winter, silage; Clovis</t>
  </si>
  <si>
    <t>wheat, winter, silage; Deming</t>
  </si>
  <si>
    <t>wheat, winter, silage; Las Cruces</t>
  </si>
  <si>
    <t>wheat, winter, silage; Lovington</t>
  </si>
  <si>
    <t>wheat, winter, silage; Portales</t>
  </si>
  <si>
    <t>wheat, winter, silage; Roswell</t>
  </si>
  <si>
    <t>wheat, winter, silage; TorC</t>
  </si>
  <si>
    <t>windbreak; Portales</t>
  </si>
  <si>
    <t>windbreak; Raton Springer</t>
  </si>
  <si>
    <t>windbreak; Santa Rosa</t>
  </si>
  <si>
    <t>winter barley, grain; Grants</t>
  </si>
  <si>
    <r>
      <t>HCO</t>
    </r>
    <r>
      <rPr>
        <vertAlign val="subscript"/>
        <sz val="10"/>
        <rFont val="Verdana"/>
        <family val="2"/>
      </rPr>
      <t>3</t>
    </r>
    <r>
      <rPr>
        <sz val="10"/>
        <rFont val="Verdana"/>
      </rPr>
      <t>/Ca</t>
    </r>
    <phoneticPr fontId="1" type="noConversion"/>
  </si>
  <si>
    <t>raspberries, blackberries; Mora</t>
  </si>
  <si>
    <t>pecan, &gt; 10yrs, no cover, Lovington</t>
  </si>
  <si>
    <t>pecan, &gt; 10yrs, no cover, Roswell</t>
  </si>
  <si>
    <t>pecan, &gt; 10yrs, no cover, T or C</t>
  </si>
  <si>
    <t>pecan, w cover crop; Deming</t>
  </si>
  <si>
    <t>pecan, w cover crop; Las Cruces</t>
  </si>
  <si>
    <t>pecan, w cover crop; Lordsburg</t>
  </si>
  <si>
    <t>pistachios, mature; Alamogordo</t>
  </si>
  <si>
    <t>potatoe, early, fresh; Estancia</t>
  </si>
  <si>
    <t>potatoe, early, fresh; Portales</t>
  </si>
  <si>
    <t>potatoes, late, storage; Aztec</t>
  </si>
  <si>
    <t>pumpkin; Deming</t>
  </si>
  <si>
    <t>pumpkin; Estancia</t>
  </si>
  <si>
    <t>pumpkin; Las Cruces</t>
  </si>
  <si>
    <t>pumpkin; Lordsburg</t>
  </si>
  <si>
    <t>pumpkin; Lovington</t>
  </si>
  <si>
    <t>radish, early; Las Vegas</t>
  </si>
  <si>
    <t>radish, early; Mora</t>
  </si>
  <si>
    <t>radish, late; Las Vegas</t>
  </si>
  <si>
    <t>raspberries, blackberries</t>
  </si>
  <si>
    <t>raspberries, blackberries; Santa Fe</t>
  </si>
  <si>
    <t>small vegetable; Cuba</t>
  </si>
  <si>
    <t>small vegetable; Espanola</t>
  </si>
  <si>
    <t>small vegetable; Las Vegas</t>
  </si>
  <si>
    <t>small vegetable; Santa Fe</t>
  </si>
  <si>
    <t>small vegetable; Taos</t>
  </si>
  <si>
    <t xml:space="preserve">small vegetable; TorC </t>
  </si>
  <si>
    <t>sorghum, grain, Carlsbad</t>
  </si>
  <si>
    <t>sorghum, grain, Clayton</t>
  </si>
  <si>
    <t>Sample ID:</t>
  </si>
  <si>
    <t>Boron (B)</t>
  </si>
  <si>
    <t>Severe limitations</t>
  </si>
  <si>
    <t>No data</t>
  </si>
  <si>
    <t>Electrical Conductivity (EC)†</t>
  </si>
  <si>
    <t>Total Dissolved Solids (TDS)††</t>
  </si>
  <si>
    <t>†Estimated EC given TDS</t>
  </si>
  <si>
    <t>††Estimated TDS given EC</t>
  </si>
  <si>
    <t>Calcium (Ca)</t>
  </si>
  <si>
    <t>Magnesium (Mg)</t>
  </si>
  <si>
    <t>Sodium (Na)</t>
  </si>
  <si>
    <t>Sodium Adsorption Ratio (SAR)</t>
  </si>
  <si>
    <t>sorghum, grain; Portales</t>
  </si>
  <si>
    <t>sorghum, grain; Raton</t>
  </si>
  <si>
    <t>sorghum, grain; Raton Springer</t>
  </si>
  <si>
    <t>sorghum, grain; Roswell</t>
  </si>
  <si>
    <t>sorghum, grain; Roy</t>
  </si>
  <si>
    <t>sorghum, grain; Santa Rosa</t>
  </si>
  <si>
    <t>sorghum, grain; Tucumcari</t>
  </si>
  <si>
    <t>sorghum, silage; Artesia</t>
  </si>
  <si>
    <t>sorghum, silage; Portales</t>
  </si>
  <si>
    <t>sorghum, silage; Santa Rosa</t>
  </si>
  <si>
    <t>sorghum, silage; Carlsbad</t>
  </si>
  <si>
    <t>sorghum, silage; Deming</t>
  </si>
  <si>
    <t>soybean; Portales</t>
  </si>
  <si>
    <t>spinach; Las Cruces</t>
  </si>
  <si>
    <t>spinach; Las Vegas</t>
  </si>
  <si>
    <t>sudangrass, hay or silage; Clayton</t>
  </si>
  <si>
    <t>sudangrass, hay or silage; Deming</t>
  </si>
  <si>
    <t>sudangrass, hay or silage; Estancia</t>
  </si>
  <si>
    <t>sudangrass, hay or silage; Ft. Sumner</t>
  </si>
  <si>
    <t>sudangrass, hay or silage; Los Lunas</t>
  </si>
  <si>
    <t>sudangrass, hay or silage; Lovington</t>
  </si>
  <si>
    <t>sudangrass, hay or silage; Portales</t>
  </si>
  <si>
    <t>sudangrass, hay or silage; Roy</t>
  </si>
  <si>
    <t>sunflowers; Lovington</t>
  </si>
  <si>
    <t>tomatoe; Las Vegas</t>
  </si>
  <si>
    <t>onion, spring plant, dry; Deming</t>
  </si>
  <si>
    <t>onion, spring plant, dry; Las Cruces</t>
  </si>
  <si>
    <t>onion, spring plant, dry; Lordsburg</t>
  </si>
  <si>
    <t>onion, spring, plant dry; Lovington</t>
  </si>
  <si>
    <t>onion, spring, plant dry; Taos</t>
  </si>
  <si>
    <t>onion, spring, plant dry; TorC</t>
  </si>
  <si>
    <t>pasture, cool season grass; Albuquerque</t>
  </si>
  <si>
    <t>pasture, cool season grass; Artesia MA</t>
  </si>
  <si>
    <t>pasture, cool season grass; Aztec</t>
  </si>
  <si>
    <t>pasture, cool season grass; Carlsbad MA</t>
  </si>
  <si>
    <t>pasture, cool season grass; Carrizozo</t>
  </si>
  <si>
    <t>pasture, cool season grass; Chama</t>
  </si>
  <si>
    <t>pasture, cool season grass; Clayton</t>
  </si>
  <si>
    <t>pasture, cool season grass; Crownpoint</t>
  </si>
  <si>
    <t>pasture, cool season grass; Cuba</t>
  </si>
  <si>
    <t>pasture, cool season grass; Estancia</t>
  </si>
  <si>
    <t>pasture, cool season grass; Ft. Sumner</t>
  </si>
  <si>
    <t>pasture, cool season grass; Gallup</t>
  </si>
  <si>
    <t xml:space="preserve">pasture, cool season grass; Grants </t>
  </si>
  <si>
    <t>pasture, cool season grass; Los Lunas</t>
  </si>
  <si>
    <t>pasture, cool season grass; Lovington</t>
  </si>
  <si>
    <t>wheat, winter, grain; Lordsburg</t>
  </si>
  <si>
    <t>wheat, winter, grain; Los Lunas</t>
  </si>
  <si>
    <t>wheat, winter, grain; Lovington</t>
  </si>
  <si>
    <t>wheat, winter, grain; Mora</t>
  </si>
  <si>
    <t>wheat, winter, grain; Portales</t>
  </si>
  <si>
    <t>wheat, winter, grain; Raton</t>
  </si>
  <si>
    <t>wheat, winter, grain; Raton Springer</t>
  </si>
  <si>
    <t>wheat, winter, grain; Roswell</t>
  </si>
  <si>
    <t>pasture, cool season grass; Santa Fe</t>
  </si>
  <si>
    <t>pasture, cool season grass; Santa Rosa</t>
  </si>
  <si>
    <t>pasture, cool season grass; Silver City</t>
  </si>
  <si>
    <t>pasture, cool season grass; Socorro</t>
  </si>
  <si>
    <t>pasture, cool season grass; Taos</t>
  </si>
  <si>
    <t>pasture, warm season grass; Espanola</t>
  </si>
  <si>
    <t>pasture, warm season grass; Lordsburg</t>
  </si>
  <si>
    <t>pasture, warm season grass; Lovington</t>
  </si>
  <si>
    <t>pasture, warm season grass; Portales</t>
  </si>
  <si>
    <t>pasture, warm season grasses; Alamogordo</t>
  </si>
  <si>
    <t>pasture, warm season grass; Deming</t>
  </si>
  <si>
    <t>peanut; Clovis</t>
  </si>
  <si>
    <t>peanut; Lovington</t>
  </si>
  <si>
    <t>peanut; Portales</t>
  </si>
  <si>
    <t>peas, green; Las Vegas</t>
  </si>
  <si>
    <t>peas, green; Mora</t>
  </si>
  <si>
    <t>pecan, &gt; 10yrs, no cover, Alamogordo</t>
  </si>
  <si>
    <t>pecan, &gt; 10yrs, no cover, Artesia</t>
  </si>
  <si>
    <t>pecan, &gt; 10yrs, no cover, Carlsbad</t>
  </si>
  <si>
    <t>pecan, &gt; 10yrs, no cover, Deming</t>
  </si>
  <si>
    <t>pecan, &gt; 10yrs, no cover, Las Cruces</t>
  </si>
  <si>
    <t>pecan, &gt; 10yrs, no cover, Lordsburg</t>
  </si>
  <si>
    <t>cut flowers; Santa Fe</t>
  </si>
  <si>
    <t>garlic; Las Vegas</t>
  </si>
  <si>
    <t>garlic; Mora</t>
  </si>
  <si>
    <t>grain, spring; Alamogordo</t>
  </si>
  <si>
    <t>grain, spring; Artesia</t>
  </si>
  <si>
    <t>grain, spring; Aztec</t>
  </si>
  <si>
    <t>grain, spring; Carlsbad</t>
  </si>
  <si>
    <t>grain, spring; Crownpoint</t>
  </si>
  <si>
    <t>grain, spring; Estancia</t>
  </si>
  <si>
    <t>grain, spring; Gallup</t>
  </si>
  <si>
    <t>grain, spring; Grants</t>
  </si>
  <si>
    <t>grain, spring; Las Cruces</t>
  </si>
  <si>
    <t>grain, spring; Las Vegas</t>
  </si>
  <si>
    <t>grain, spring; Lordsburg</t>
  </si>
  <si>
    <t>grain, spring; Los Lunas</t>
  </si>
  <si>
    <t>grain, spring; Lovington</t>
  </si>
  <si>
    <t>grain, spring; Mora</t>
  </si>
  <si>
    <t>grain, spring; Mountainair</t>
  </si>
  <si>
    <t>grain, spring; Raton Springer</t>
  </si>
  <si>
    <t>grain, spring; Santa Fe</t>
  </si>
  <si>
    <t>grain, spring; Socorro</t>
  </si>
  <si>
    <t>raspberries, blackberries; Alamogordo</t>
  </si>
  <si>
    <t>grapes; Lordsburg</t>
  </si>
  <si>
    <t>grapes; Mountainair</t>
  </si>
  <si>
    <t>grapes; Santa Fe</t>
  </si>
  <si>
    <t>grapes; Socorro</t>
  </si>
  <si>
    <t>grass, hay; Cuba</t>
  </si>
  <si>
    <t>grass, hay; Mora</t>
  </si>
  <si>
    <t>herbs, fall; Las Cruces</t>
  </si>
  <si>
    <t>herbs, spring; Las Cruces</t>
  </si>
  <si>
    <t>herbs, summer; Las Cruces</t>
  </si>
  <si>
    <t>lawn cool season; Albuquerque</t>
  </si>
  <si>
    <t>sorghum, grain, Clovis</t>
  </si>
  <si>
    <t>sorghum, grain, Deming</t>
  </si>
  <si>
    <t>sorghum, grain; Alamogordo</t>
  </si>
  <si>
    <t>sorghum, grain; Artesia</t>
  </si>
  <si>
    <t>sorghum, grain; Ft. Sumner</t>
  </si>
  <si>
    <t>sorghum, grain; Lordsburg</t>
  </si>
  <si>
    <t>sorghum, grain; Lovington</t>
  </si>
  <si>
    <t>sorghum, grain; Mountainair</t>
  </si>
  <si>
    <t>lettuce, fall plant; TorC</t>
  </si>
  <si>
    <t>lettuce, spring plant; Las Cruces</t>
  </si>
  <si>
    <t>lettuce, spring plant; Las Vegas</t>
  </si>
  <si>
    <t>lettuce, spring plant; Mora</t>
  </si>
  <si>
    <t>lettuce, spring plant; T or C</t>
  </si>
  <si>
    <t>melons, spring; Ft. Sumner</t>
  </si>
  <si>
    <t>melons, spring; Las Cruces</t>
  </si>
  <si>
    <t>melons, spring; Las Vegas</t>
  </si>
  <si>
    <t>melons, spring; Lordsburg</t>
  </si>
  <si>
    <t>melons, spring; Lovington</t>
  </si>
  <si>
    <t>melons, spring; Mora</t>
  </si>
  <si>
    <t>melons, spring; Mountainair</t>
  </si>
  <si>
    <t>melons, spring; Santa Rosa</t>
  </si>
  <si>
    <t>melons, spring; Socorro</t>
  </si>
  <si>
    <t>melons, spring; TorC</t>
  </si>
  <si>
    <t>nursery stock; Las Vegas</t>
  </si>
  <si>
    <t>nursery stock; Mora</t>
  </si>
  <si>
    <t>oat, hay; Clayton</t>
  </si>
  <si>
    <t>oat, hay; Crownpoint</t>
  </si>
  <si>
    <t>oat, hay; Datil</t>
  </si>
  <si>
    <t>oat, hay; Deming</t>
  </si>
  <si>
    <t>oat, hay; Gallup</t>
  </si>
  <si>
    <t>oat, hay; Las Vegas</t>
  </si>
  <si>
    <t>oat, hay; Chama</t>
  </si>
  <si>
    <t>onion, fall plant, fresh; Las Cruces</t>
  </si>
  <si>
    <t>onion, fall plant, fresh; Lordsburg</t>
  </si>
  <si>
    <t>onion, fall, plant fresh; TorC</t>
  </si>
  <si>
    <t>chile, green; Los Lunas</t>
  </si>
  <si>
    <t>chile, green; Lovington</t>
  </si>
  <si>
    <t>chile, green; Mora</t>
  </si>
  <si>
    <t>chile, green; Mountainair</t>
  </si>
  <si>
    <t>chile, green; Portales</t>
  </si>
  <si>
    <t>chile, green; Santa Rosa</t>
  </si>
  <si>
    <t>chile, green; Socorro</t>
  </si>
  <si>
    <t>chile, green; TorC</t>
  </si>
  <si>
    <t>chile, red; Artesia</t>
  </si>
  <si>
    <t>chile, red; Deming</t>
  </si>
  <si>
    <t>chile, red; Las Cruces</t>
  </si>
  <si>
    <t>chile, red; Lordsburg</t>
  </si>
  <si>
    <t>chile, red; Lovington</t>
  </si>
  <si>
    <t>chile, red; Roswell</t>
  </si>
  <si>
    <t>chile, red; Santa Rosa</t>
  </si>
  <si>
    <t>chile, red; TorC</t>
  </si>
  <si>
    <t>corn, blue; Las Vegas</t>
  </si>
  <si>
    <t>corn, blue; Mora</t>
  </si>
  <si>
    <t>corn, grain; Albuquerque</t>
  </si>
  <si>
    <t>corn, grain; Aztec</t>
  </si>
  <si>
    <t>corn, grain; Clayton</t>
  </si>
  <si>
    <t>corn, grain; Clovis</t>
  </si>
  <si>
    <t>pasture, cool season grass; Datil</t>
  </si>
  <si>
    <t>pasture, cool season grass; Deming</t>
  </si>
  <si>
    <t>corn, grain; Raton</t>
  </si>
  <si>
    <t>corn, grain; Raton Springer</t>
  </si>
  <si>
    <t>corn, grain; Roswell</t>
  </si>
  <si>
    <t>corn, grain; Roy</t>
  </si>
  <si>
    <t>corn, grain; Santa Rosa</t>
  </si>
  <si>
    <t>corn, grain; Socorro</t>
  </si>
  <si>
    <t>corn, grain; Taos</t>
  </si>
  <si>
    <t>corn, grain; Tucumcari</t>
  </si>
  <si>
    <t>corn, silage; Albuquerque</t>
  </si>
  <si>
    <t>pasture, cool season grass; Mountainair</t>
  </si>
  <si>
    <t>pasture, cool season grass; Portales</t>
  </si>
  <si>
    <t>pasture, cool season grass; Raton</t>
  </si>
  <si>
    <t>pasture, cool season grass; Raton Springer</t>
  </si>
  <si>
    <t>pasture, cool season grass; Roswell</t>
  </si>
  <si>
    <t>corn, silage; Ft. Sumner</t>
  </si>
  <si>
    <t>corn, silage; Las Cruces</t>
  </si>
  <si>
    <t>corn, silage; Los Lunas</t>
  </si>
  <si>
    <t>corn, silage; Lovington</t>
  </si>
  <si>
    <t>corn, silage; Portales</t>
  </si>
  <si>
    <t>corn, silage; Roswell</t>
  </si>
  <si>
    <t>corn, silage; TorC</t>
  </si>
  <si>
    <t>corn, sweet; Albuquerque</t>
  </si>
  <si>
    <t>corn, sweet; Crownpoint</t>
  </si>
  <si>
    <t>corn, sweet; Espanola</t>
  </si>
  <si>
    <t>corn, sweet; Gallup</t>
  </si>
  <si>
    <t>corn, sweet; Grants</t>
  </si>
  <si>
    <t>corn, sweet; Las Vegas</t>
  </si>
  <si>
    <t>corn, sweet; Los Lunas</t>
  </si>
  <si>
    <t>corn, sweet; Mora</t>
  </si>
  <si>
    <t>corn, sweet; Mountainair</t>
  </si>
  <si>
    <t>corn, sweet; Santa Fe</t>
  </si>
  <si>
    <t>corn, sweet; Socorro</t>
  </si>
  <si>
    <t>corn, sweet; Taos</t>
  </si>
  <si>
    <t>cotton; Artesia</t>
  </si>
  <si>
    <t>cotton; Carlsbad</t>
  </si>
  <si>
    <t>cotton; Clovis</t>
  </si>
  <si>
    <t>cotton; Deming</t>
  </si>
  <si>
    <t>cotton; Las Cruces</t>
  </si>
  <si>
    <t>cotton; Lordsburg</t>
  </si>
  <si>
    <t>cotton; Lovington</t>
  </si>
  <si>
    <t>cotton; Mountainair</t>
  </si>
  <si>
    <t>cotton; Portales</t>
  </si>
  <si>
    <t>cotton; Roswell</t>
  </si>
  <si>
    <t>cotton; TorC</t>
  </si>
  <si>
    <t>cotton; Tucumcari</t>
  </si>
  <si>
    <t>cut flowers; Las Vegas</t>
  </si>
  <si>
    <t>cut flowers; Mora</t>
  </si>
  <si>
    <t>alfalfa, hay, southern; Alamogordo</t>
  </si>
  <si>
    <t>alfalfa, hay, southern; Artesia</t>
  </si>
  <si>
    <t>alfalfa, hay, southern; Carlsbad</t>
  </si>
  <si>
    <t>alfalfa, hay, southern; Deming</t>
  </si>
  <si>
    <t>alfalfa, hay, southern; Lordsburg</t>
  </si>
  <si>
    <t>alfalfa, hay, southern; Los Lunas</t>
  </si>
  <si>
    <t>alfalfa, hay, southern; Lovington</t>
  </si>
  <si>
    <t>alfalfa, hay, southern; Portales</t>
  </si>
  <si>
    <t>alfalfa, hay, southern; Roswell</t>
  </si>
  <si>
    <t>alfalfa, hay, southern; Silver City</t>
  </si>
  <si>
    <t>alfalfa, hay, southern; TorC</t>
  </si>
  <si>
    <t>apples, mature w cover; Alamogordo</t>
  </si>
  <si>
    <t>apples, mature w cover; Albuquerque</t>
  </si>
  <si>
    <t>apples, mature w cover; Artesia MA</t>
  </si>
  <si>
    <t>apples, mature w cover; Carlsbad MA</t>
  </si>
  <si>
    <t>grain, spring; Taos</t>
  </si>
  <si>
    <t>grapes; Alamogordo</t>
  </si>
  <si>
    <t>grapes; Deming</t>
  </si>
  <si>
    <t>grapes; Espanola</t>
  </si>
  <si>
    <t>grapes; Las Cruces</t>
  </si>
  <si>
    <t>apples, mature w cover; Gallup</t>
  </si>
  <si>
    <t>apples, mature w cover; Grants</t>
  </si>
  <si>
    <t>apples, mature w cover; Santa Fe</t>
  </si>
  <si>
    <t>apples, mature w cover; Silver City</t>
  </si>
  <si>
    <t>apples, mature w/o cover, Grants</t>
  </si>
  <si>
    <t>apples, mature w/o cover; Alamogordo</t>
  </si>
  <si>
    <t>lawn cool season; Las Cruces</t>
  </si>
  <si>
    <t>lawn cool season; Santa Fe</t>
  </si>
  <si>
    <t>lawn warm season: Las Cruces</t>
  </si>
  <si>
    <t>lawn warm season; Albuquerque</t>
  </si>
  <si>
    <t>lawn warm season; Santa Fe</t>
  </si>
  <si>
    <t>lettuce, fall plant; Las Cruces</t>
  </si>
  <si>
    <t>apples, mature w/o cover; Gallup</t>
  </si>
  <si>
    <t>apples, mature w/o cover; Santa Rosa</t>
  </si>
  <si>
    <t>apples, mature w/o cover; Silver City</t>
  </si>
  <si>
    <t>apples, mature w/o cover; Taos</t>
  </si>
  <si>
    <t>apples, mature w/o cover; Carlsbad MA</t>
  </si>
  <si>
    <t>apples, mature w/o cover; Crownpoint</t>
  </si>
  <si>
    <t>apples, mature w/o cover; Espanola</t>
  </si>
  <si>
    <t>beans, dry edible; Aztec</t>
  </si>
  <si>
    <t>beans, dry edible; Estancia</t>
  </si>
  <si>
    <t>beans, dry edible; Lordsburg</t>
  </si>
  <si>
    <t>beans, dry edible; Santa Rosa</t>
  </si>
  <si>
    <t>beans, green; Las Vegas</t>
  </si>
  <si>
    <t>beans, green; Mora</t>
  </si>
  <si>
    <t>beets; Las Vegas</t>
  </si>
  <si>
    <t>beets; Mora</t>
  </si>
  <si>
    <t>cabbage; Las Cruces</t>
  </si>
  <si>
    <t>cabbage; Las Vegas</t>
  </si>
  <si>
    <t>cabbage; Mora</t>
  </si>
  <si>
    <t>cabbage; TorC</t>
  </si>
  <si>
    <t>carrots; Las Cruces</t>
  </si>
  <si>
    <t>carrots; Las Vegas</t>
  </si>
  <si>
    <t>carrots; Lovington</t>
  </si>
  <si>
    <t>carrots; Mora</t>
  </si>
  <si>
    <t>chile, green; Alamogordo</t>
  </si>
  <si>
    <t>chile, green; Deming</t>
  </si>
  <si>
    <t>chile, green; Espanola</t>
  </si>
  <si>
    <t>chile, green; Ft. Sumner</t>
  </si>
  <si>
    <t>chile, green; Las Cruces</t>
  </si>
  <si>
    <t>chile, green; Las Vegas</t>
  </si>
  <si>
    <t>chile, green; Lordsburg</t>
  </si>
  <si>
    <t>Box 30003, Dept. 3Q</t>
  </si>
  <si>
    <t>No Data</t>
  </si>
  <si>
    <t>mg/l</t>
  </si>
  <si>
    <t>PGEL Building, Westside Entrance</t>
  </si>
  <si>
    <t>Unitless</t>
  </si>
  <si>
    <t>meq/l</t>
  </si>
  <si>
    <t>Mg</t>
  </si>
  <si>
    <t>Las Cruces, NM 88003</t>
  </si>
  <si>
    <t>Na</t>
  </si>
  <si>
    <t>Bicarbonate</t>
  </si>
  <si>
    <t>Legend</t>
  </si>
  <si>
    <t>SAR</t>
  </si>
  <si>
    <t>Chloride</t>
  </si>
  <si>
    <t>Client:</t>
  </si>
  <si>
    <t>No limitations</t>
  </si>
  <si>
    <t>Increasing problems</t>
  </si>
  <si>
    <t>Phone/email:</t>
  </si>
  <si>
    <t>Lab ID</t>
  </si>
  <si>
    <t>Method</t>
  </si>
  <si>
    <t>Irrigation Water Test Result</t>
  </si>
  <si>
    <t>Value</t>
  </si>
  <si>
    <t>Units</t>
  </si>
  <si>
    <t>Interpretation</t>
  </si>
  <si>
    <t>Potential Problem</t>
  </si>
  <si>
    <t>EC</t>
  </si>
  <si>
    <t>SARadj</t>
  </si>
  <si>
    <t>SALINITY</t>
  </si>
  <si>
    <t>SAR = 0-3 and ECw</t>
  </si>
  <si>
    <t>&gt;0.7</t>
  </si>
  <si>
    <t>&lt;0.2</t>
  </si>
  <si>
    <t>mmhos/cm</t>
  </si>
  <si>
    <t>SAR = 3-6 and ECw</t>
  </si>
  <si>
    <t>corn, grain; Deming</t>
  </si>
  <si>
    <t>corn, grain; Estancia</t>
  </si>
  <si>
    <t>corn, grain; Las Cruces</t>
  </si>
  <si>
    <t>corn, grain; Lordsburg</t>
  </si>
  <si>
    <t>corn, grain; Los Lunas</t>
  </si>
  <si>
    <t>corn, grain; Portales</t>
  </si>
  <si>
    <t>Ecw</t>
  </si>
  <si>
    <t>e.c.</t>
  </si>
  <si>
    <t>Estimated Cax from graph</t>
  </si>
  <si>
    <t>E.C. from report:</t>
  </si>
  <si>
    <t>Calculated HCO3/Ca:</t>
  </si>
  <si>
    <t>Move vertical lines to intersect nearest ECw (use the zoom function to assist alignment).</t>
  </si>
  <si>
    <t>CU</t>
  </si>
  <si>
    <t>ec 10%</t>
  </si>
  <si>
    <t>corn, silage; Artesia</t>
  </si>
  <si>
    <t>corn, silage; Carlsbad</t>
  </si>
  <si>
    <t>corn, silage; Clayton</t>
  </si>
  <si>
    <t>corn, silage; Clovis</t>
  </si>
  <si>
    <t>corn, silage; Deming</t>
  </si>
  <si>
    <t>corn, silage; Estancia</t>
  </si>
  <si>
    <t>&gt;1.2</t>
  </si>
  <si>
    <t>&lt;0.3</t>
  </si>
  <si>
    <t>mg/l (ppm)</t>
  </si>
  <si>
    <t>SAR = 6-12 and ECw</t>
  </si>
  <si>
    <t>&gt;1.9</t>
  </si>
  <si>
    <t>&lt;0.5</t>
  </si>
  <si>
    <t>SAR = 12-20 and ECw</t>
  </si>
  <si>
    <t>&gt;2.9</t>
  </si>
  <si>
    <t>&lt;1.3</t>
  </si>
  <si>
    <t>SAR = 20-40 and ECw</t>
  </si>
  <si>
    <t>&gt;5.0</t>
  </si>
  <si>
    <t>&lt;2.9</t>
  </si>
  <si>
    <t>FOR SAR</t>
  </si>
  <si>
    <t>INFILTRATION CONCERNS</t>
  </si>
  <si>
    <t>severe</t>
  </si>
  <si>
    <t>Moderate</t>
  </si>
  <si>
    <t>None</t>
  </si>
  <si>
    <t xml:space="preserve"> </t>
  </si>
  <si>
    <t>SAR adjusted</t>
  </si>
  <si>
    <t>SPECIFIC ION EFFECTS</t>
  </si>
  <si>
    <t>Flood Irrigation</t>
  </si>
  <si>
    <t>pounds / acre inch</t>
  </si>
  <si>
    <t>Crop</t>
  </si>
  <si>
    <t>Soil ECe</t>
  </si>
  <si>
    <t>Irrigation Frequency</t>
  </si>
  <si>
    <t>90% Yield</t>
  </si>
  <si>
    <t>High</t>
  </si>
  <si>
    <t>Low</t>
  </si>
  <si>
    <r>
      <t>Enter Ca</t>
    </r>
    <r>
      <rPr>
        <vertAlign val="subscript"/>
        <sz val="10"/>
        <rFont val="Verdana"/>
        <family val="2"/>
      </rPr>
      <t>x</t>
    </r>
    <r>
      <rPr>
        <sz val="10"/>
        <rFont val="Verdana"/>
      </rPr>
      <t xml:space="preserve"> from graph here:</t>
    </r>
  </si>
  <si>
    <t>alfalfa, hay, northern; Albuquerque</t>
  </si>
  <si>
    <t>alfalfa, hay, northern; Aztec</t>
  </si>
  <si>
    <t>alfalfa, hay, northern; Carrizozo</t>
  </si>
  <si>
    <t>alfalfa, hay, northern; Chama</t>
  </si>
  <si>
    <t>alfalfa, hay, northern; Clayton</t>
  </si>
  <si>
    <t>alfalfa, hay, northern; Clovis</t>
  </si>
  <si>
    <t>alfalfa, hay, northern; Crownpoint</t>
  </si>
  <si>
    <t>alfalfa, hay, northern; Datil</t>
  </si>
  <si>
    <t>alfalfa, hay, northern; Espanola</t>
  </si>
  <si>
    <t>alfalfa, hay, northern; Estancia</t>
  </si>
  <si>
    <t>alfalfa, hay, northern; Gallup</t>
  </si>
  <si>
    <t>alfalfa, hay, northern; Grants</t>
  </si>
  <si>
    <t>alfalfa, hay, northern; Las Cruces</t>
  </si>
  <si>
    <t>alfalfa, hay, northern; Las Vegas</t>
  </si>
  <si>
    <t>alfalfa, hay, northern; Mora</t>
  </si>
  <si>
    <t>alfalfa, hay, northern; Mountainair</t>
  </si>
  <si>
    <t>alfalfa, hay, northern; Raton</t>
  </si>
  <si>
    <t>alfalfa, hay, northern; Raton Springer</t>
  </si>
  <si>
    <t>alfalfa, hay, northern; Roy</t>
  </si>
  <si>
    <t>alfalfa, hay, northern; Santa Fe</t>
  </si>
  <si>
    <t>alfalfa, hay, northern; Santa Rosa</t>
  </si>
  <si>
    <t>alfalfa, hay, northern; Socorro</t>
  </si>
  <si>
    <t>alfalfa, hay, northern; Taos</t>
  </si>
  <si>
    <t>alfalfa, hay, northern; Tucumcari</t>
  </si>
  <si>
    <t>(575) 646-4422, Fax: (575) 646-5185</t>
    <phoneticPr fontId="1" type="noConversion"/>
  </si>
  <si>
    <t>mg/l</t>
    <phoneticPr fontId="1" type="noConversion"/>
  </si>
  <si>
    <t>meq/l</t>
    <phoneticPr fontId="1" type="noConversion"/>
  </si>
  <si>
    <t>apples, mature w cover; Crownpoint</t>
  </si>
  <si>
    <t>apples, mature w cover; Espanola</t>
  </si>
  <si>
    <t>Total Suspended Solids</t>
  </si>
  <si>
    <t>Bacterial Count (x1000)</t>
  </si>
  <si>
    <t>Hydrogen Sulfide</t>
  </si>
  <si>
    <t>Total Iron</t>
  </si>
  <si>
    <t>Manganese</t>
  </si>
  <si>
    <t>For SAR</t>
  </si>
  <si>
    <t>For SAR adj</t>
  </si>
  <si>
    <t>Irrigation Water Analysis Results and Interpretation</t>
  </si>
  <si>
    <t>Ca</t>
  </si>
  <si>
    <t>NMSU Soil, Water, and Air Testing Laboratory</t>
  </si>
  <si>
    <t>Interpretation questions:</t>
  </si>
  <si>
    <t>pH</t>
  </si>
  <si>
    <t>HCO3/Ca</t>
  </si>
  <si>
    <t>Cax</t>
  </si>
  <si>
    <t>Boron</t>
  </si>
  <si>
    <t>apples, mature w/o cover; Albuquerque</t>
  </si>
  <si>
    <t>apples, mature w/o cover; Artesia MA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</si>
</sst>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Verdana"/>
    </font>
    <font>
      <sz val="8"/>
      <name val="Verdana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vertAlign val="subscript"/>
      <sz val="10"/>
      <name val="Verdana"/>
      <family val="2"/>
    </font>
    <font>
      <sz val="10"/>
      <name val="Verdana"/>
    </font>
    <font>
      <sz val="4"/>
      <color indexed="81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1"/>
      <name val="Times New Roman"/>
      <family val="1"/>
    </font>
    <font>
      <b/>
      <sz val="8"/>
      <color indexed="8"/>
      <name val="Times New Roman"/>
      <family val="1"/>
    </font>
    <font>
      <u/>
      <sz val="11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lightHorizontal">
        <bgColor indexed="13"/>
      </patternFill>
    </fill>
    <fill>
      <patternFill patternType="lightVertical">
        <fgColor indexed="9"/>
        <bgColor indexed="10"/>
      </patternFill>
    </fill>
    <fill>
      <patternFill patternType="lightUp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indexed="9"/>
        <bgColor rgb="FF00B050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3" xfId="0" applyFont="1" applyBorder="1" applyAlignment="1">
      <alignment horizontal="left"/>
    </xf>
    <xf numFmtId="0" fontId="2" fillId="0" borderId="4" xfId="0" applyFont="1" applyBorder="1"/>
    <xf numFmtId="0" fontId="0" fillId="0" borderId="4" xfId="0" applyBorder="1"/>
    <xf numFmtId="2" fontId="0" fillId="0" borderId="0" xfId="0" applyNumberFormat="1"/>
    <xf numFmtId="0" fontId="0" fillId="0" borderId="6" xfId="0" applyBorder="1"/>
    <xf numFmtId="0" fontId="3" fillId="0" borderId="5" xfId="0" applyFont="1" applyBorder="1" applyAlignment="1">
      <alignment horizontal="left"/>
    </xf>
    <xf numFmtId="0" fontId="2" fillId="0" borderId="6" xfId="0" applyFont="1" applyBorder="1"/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0" fillId="6" borderId="0" xfId="0" applyFill="1" applyBorder="1"/>
    <xf numFmtId="164" fontId="0" fillId="0" borderId="0" xfId="0" applyNumberFormat="1"/>
    <xf numFmtId="1" fontId="0" fillId="0" borderId="0" xfId="0" applyNumberFormat="1"/>
    <xf numFmtId="1" fontId="0" fillId="0" borderId="0" xfId="0" applyNumberFormat="1" applyBorder="1" applyAlignment="1" applyProtection="1">
      <alignment horizontal="center"/>
    </xf>
    <xf numFmtId="0" fontId="5" fillId="0" borderId="0" xfId="0" applyFont="1"/>
    <xf numFmtId="0" fontId="6" fillId="8" borderId="0" xfId="0" applyFont="1" applyFill="1" applyBorder="1" applyAlignment="1">
      <alignment horizontal="left"/>
    </xf>
    <xf numFmtId="0" fontId="7" fillId="0" borderId="0" xfId="0" applyFont="1" applyBorder="1"/>
    <xf numFmtId="0" fontId="0" fillId="8" borderId="0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1" applyAlignment="1" applyProtection="1">
      <protection locked="0"/>
    </xf>
    <xf numFmtId="0" fontId="0" fillId="2" borderId="0" xfId="0" applyFill="1"/>
    <xf numFmtId="0" fontId="10" fillId="6" borderId="8" xfId="0" applyFont="1" applyFill="1" applyBorder="1" applyAlignment="1" applyProtection="1">
      <alignment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0" fillId="6" borderId="9" xfId="0" applyFont="1" applyFill="1" applyBorder="1" applyProtection="1">
      <protection locked="0"/>
    </xf>
    <xf numFmtId="0" fontId="10" fillId="6" borderId="9" xfId="0" applyFont="1" applyFill="1" applyBorder="1" applyAlignment="1" applyProtection="1">
      <alignment horizontal="left" vertical="center"/>
      <protection locked="0"/>
    </xf>
    <xf numFmtId="0" fontId="10" fillId="6" borderId="10" xfId="0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9" borderId="0" xfId="0" applyFill="1"/>
    <xf numFmtId="0" fontId="1" fillId="0" borderId="0" xfId="0" applyFont="1"/>
    <xf numFmtId="0" fontId="15" fillId="0" borderId="5" xfId="0" applyFont="1" applyBorder="1"/>
    <xf numFmtId="0" fontId="16" fillId="0" borderId="1" xfId="0" applyFont="1" applyBorder="1"/>
    <xf numFmtId="0" fontId="16" fillId="0" borderId="3" xfId="0" applyFont="1" applyBorder="1"/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5" fillId="0" borderId="4" xfId="0" applyFont="1" applyBorder="1"/>
    <xf numFmtId="0" fontId="15" fillId="3" borderId="3" xfId="0" applyFont="1" applyFill="1" applyBorder="1"/>
    <xf numFmtId="0" fontId="15" fillId="4" borderId="3" xfId="0" applyFont="1" applyFill="1" applyBorder="1"/>
    <xf numFmtId="0" fontId="15" fillId="0" borderId="6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/>
    <xf numFmtId="0" fontId="17" fillId="6" borderId="0" xfId="0" applyFont="1" applyFill="1" applyBorder="1" applyAlignment="1">
      <alignment horizontal="center"/>
    </xf>
    <xf numFmtId="0" fontId="15" fillId="6" borderId="12" xfId="0" applyFont="1" applyFill="1" applyBorder="1"/>
    <xf numFmtId="0" fontId="17" fillId="6" borderId="12" xfId="0" applyFont="1" applyFill="1" applyBorder="1"/>
    <xf numFmtId="0" fontId="17" fillId="6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/>
    <xf numFmtId="0" fontId="15" fillId="2" borderId="0" xfId="0" applyFont="1" applyFill="1" applyBorder="1" applyAlignment="1" applyProtection="1">
      <alignment horizontal="center"/>
      <protection locked="0"/>
    </xf>
    <xf numFmtId="0" fontId="17" fillId="8" borderId="0" xfId="0" applyFont="1" applyFill="1" applyBorder="1" applyAlignment="1">
      <alignment horizontal="center"/>
    </xf>
    <xf numFmtId="0" fontId="17" fillId="8" borderId="0" xfId="0" applyFont="1" applyFill="1" applyBorder="1" applyAlignment="1" applyProtection="1">
      <alignment horizontal="center"/>
      <protection locked="0"/>
    </xf>
    <xf numFmtId="164" fontId="15" fillId="2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164" fontId="15" fillId="0" borderId="0" xfId="0" applyNumberFormat="1" applyFont="1" applyBorder="1" applyAlignment="1" applyProtection="1">
      <alignment horizontal="center"/>
    </xf>
    <xf numFmtId="1" fontId="15" fillId="0" borderId="0" xfId="0" applyNumberFormat="1" applyFont="1" applyBorder="1" applyAlignment="1" applyProtection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/>
    <xf numFmtId="2" fontId="15" fillId="0" borderId="0" xfId="0" applyNumberFormat="1" applyFont="1" applyBorder="1" applyAlignment="1" applyProtection="1">
      <alignment horizontal="center"/>
    </xf>
    <xf numFmtId="0" fontId="7" fillId="8" borderId="0" xfId="0" applyFont="1" applyFill="1" applyBorder="1" applyAlignment="1">
      <alignment horizontal="left"/>
    </xf>
    <xf numFmtId="0" fontId="15" fillId="0" borderId="0" xfId="0" applyFont="1" applyBorder="1" applyAlignment="1" applyProtection="1">
      <alignment horizontal="center"/>
    </xf>
    <xf numFmtId="0" fontId="17" fillId="8" borderId="0" xfId="0" applyFont="1" applyFill="1" applyBorder="1"/>
    <xf numFmtId="0" fontId="15" fillId="8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Continuous"/>
    </xf>
    <xf numFmtId="9" fontId="15" fillId="0" borderId="0" xfId="0" applyNumberFormat="1" applyFont="1" applyBorder="1" applyAlignment="1" applyProtection="1">
      <alignment horizontal="center"/>
    </xf>
    <xf numFmtId="1" fontId="15" fillId="8" borderId="0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2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5" fillId="0" borderId="1" xfId="0" applyFont="1" applyBorder="1"/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</xf>
    <xf numFmtId="0" fontId="15" fillId="10" borderId="3" xfId="0" applyFont="1" applyFill="1" applyBorder="1"/>
    <xf numFmtId="0" fontId="0" fillId="2" borderId="13" xfId="0" applyFill="1" applyBorder="1"/>
    <xf numFmtId="0" fontId="26" fillId="7" borderId="0" xfId="0" applyFont="1" applyFill="1" applyBorder="1" applyAlignment="1" applyProtection="1">
      <alignment horizontal="center"/>
      <protection locked="0"/>
    </xf>
    <xf numFmtId="1" fontId="26" fillId="0" borderId="0" xfId="0" applyNumberFormat="1" applyFont="1" applyBorder="1" applyAlignment="1" applyProtection="1">
      <alignment horizontal="center"/>
    </xf>
    <xf numFmtId="0" fontId="16" fillId="0" borderId="0" xfId="0" applyFont="1" applyBorder="1"/>
    <xf numFmtId="0" fontId="16" fillId="0" borderId="0" xfId="0" applyFont="1" applyFill="1" applyBorder="1"/>
    <xf numFmtId="1" fontId="15" fillId="0" borderId="0" xfId="0" applyNumberFormat="1" applyFont="1" applyBorder="1" applyAlignment="1" applyProtection="1">
      <alignment horizontal="left"/>
    </xf>
    <xf numFmtId="0" fontId="26" fillId="5" borderId="5" xfId="0" applyFont="1" applyFill="1" applyBorder="1" applyAlignment="1">
      <alignment horizontal="center"/>
    </xf>
    <xf numFmtId="1" fontId="27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3" fillId="8" borderId="0" xfId="0" applyFont="1" applyFill="1" applyBorder="1"/>
    <xf numFmtId="0" fontId="30" fillId="0" borderId="3" xfId="1" applyFont="1" applyBorder="1" applyAlignment="1" applyProtection="1"/>
    <xf numFmtId="0" fontId="0" fillId="11" borderId="0" xfId="0" applyFill="1"/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76">
    <dxf>
      <fill>
        <patternFill>
          <bgColor theme="1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Horizontal">
          <bgColor rgb="FFFFFF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Horizontal">
          <bgColor rgb="FFFFFF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Horizontal"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>
          <bgColor theme="0"/>
        </patternFill>
      </fill>
    </dxf>
    <dxf>
      <fill>
        <patternFill patternType="lightUp">
          <fgColor theme="0"/>
          <bgColor theme="1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Horizontal"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 tint="4.9989318521683403E-2"/>
        </patternFill>
      </fill>
    </dxf>
    <dxf>
      <fill>
        <patternFill patternType="lightHorizontal">
          <fgColor theme="1"/>
          <bgColor rgb="FFFFFF00"/>
        </patternFill>
      </fill>
    </dxf>
    <dxf>
      <fill>
        <patternFill patternType="lightVertical">
          <fgColor theme="0"/>
          <bgColor rgb="FFFF0000"/>
        </patternFill>
      </fill>
    </dxf>
    <dxf>
      <fill>
        <patternFill patternType="lightGrid">
          <fgColor theme="0"/>
          <bgColor rgb="FF00B050"/>
        </patternFill>
      </fill>
    </dxf>
    <dxf>
      <fill>
        <patternFill patternType="lightUp">
          <fgColor theme="0"/>
          <bgColor theme="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666750</xdr:colOff>
      <xdr:row>3</xdr:row>
      <xdr:rowOff>87842</xdr:rowOff>
    </xdr:to>
    <xdr:pic>
      <xdr:nvPicPr>
        <xdr:cNvPr id="2" name="Picture 1" descr="large state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525"/>
          <a:ext cx="657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6</xdr:col>
      <xdr:colOff>28575</xdr:colOff>
      <xdr:row>3</xdr:row>
      <xdr:rowOff>106892</xdr:rowOff>
    </xdr:to>
    <xdr:pic>
      <xdr:nvPicPr>
        <xdr:cNvPr id="3" name="Picture 21" descr="http://swatlab.nmsu.edu/SWAT-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75325" y="0"/>
          <a:ext cx="920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4763</xdr:colOff>
      <xdr:row>0</xdr:row>
      <xdr:rowOff>0</xdr:rowOff>
    </xdr:from>
    <xdr:to>
      <xdr:col>14</xdr:col>
      <xdr:colOff>566738</xdr:colOff>
      <xdr:row>37</xdr:row>
      <xdr:rowOff>152400</xdr:rowOff>
    </xdr:to>
    <xdr:pic>
      <xdr:nvPicPr>
        <xdr:cNvPr id="2" name="Picture 1" descr="CAx graph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3" y="0"/>
          <a:ext cx="8715375" cy="614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227770</xdr:colOff>
      <xdr:row>7</xdr:row>
      <xdr:rowOff>87831</xdr:rowOff>
    </xdr:from>
    <xdr:to>
      <xdr:col>1</xdr:col>
      <xdr:colOff>246058</xdr:colOff>
      <xdr:row>34</xdr:row>
      <xdr:rowOff>84600</xdr:rowOff>
    </xdr:to>
    <xdr:cxnSp macro="">
      <xdr:nvCxnSpPr>
        <xdr:cNvPr id="3" name="Straight Connector 2"/>
        <xdr:cNvCxnSpPr/>
      </xdr:nvCxnSpPr>
      <xdr:spPr>
        <a:xfrm rot="16200000" flipV="1">
          <a:off x="-1366433" y="3396534"/>
          <a:ext cx="4368744" cy="18288"/>
        </a:xfrm>
        <a:prstGeom prst="line">
          <a:avLst/>
        </a:prstGeom>
        <a:ln w="63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3215</xdr:colOff>
      <xdr:row>27</xdr:row>
      <xdr:rowOff>144228</xdr:rowOff>
    </xdr:from>
    <xdr:to>
      <xdr:col>5</xdr:col>
      <xdr:colOff>218797</xdr:colOff>
      <xdr:row>27</xdr:row>
      <xdr:rowOff>148967</xdr:rowOff>
    </xdr:to>
    <xdr:cxnSp macro="">
      <xdr:nvCxnSpPr>
        <xdr:cNvPr id="4" name="Straight Arrow Connector 3"/>
        <xdr:cNvCxnSpPr/>
      </xdr:nvCxnSpPr>
      <xdr:spPr>
        <a:xfrm rot="10800000">
          <a:off x="584240" y="4516203"/>
          <a:ext cx="2558732" cy="4739"/>
        </a:xfrm>
        <a:prstGeom prst="straightConnector1">
          <a:avLst/>
        </a:prstGeom>
        <a:ln w="63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esktop/FJS_edit_irrigation_analysis_wksh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JS_edit_irrigation_analysis_wk"/>
    </sheetNames>
    <definedNames>
      <definedName name="DropDown3_Chang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omments" Target="../comments1.xml"/><Relationship Id="rId1" Type="http://schemas.openxmlformats.org/officeDocument/2006/relationships/hyperlink" Target="http://aces.nmsu.edu/county/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+@vlookup(Report!Z2,CAx!A2:M28,2" TargetMode="External"/><Relationship Id="rId3" Type="http://schemas.openxmlformats.org/officeDocument/2006/relationships/hyperlink" Target="mailto:+@vlookup(Report!Z2,CAx!A2:M28,2" TargetMode="External"/><Relationship Id="rId1" Type="http://schemas.openxmlformats.org/officeDocument/2006/relationships/hyperlink" Target="mailto:+@vlookup(Report!Z2,CAx!A2:M28,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/>
  <dimension ref="A1:BQ140"/>
  <sheetViews>
    <sheetView tabSelected="1" topLeftCell="A32" zoomScale="150" zoomScaleNormal="150" zoomScaleSheetLayoutView="125" zoomScalePageLayoutView="150" workbookViewId="0">
      <selection activeCell="C40" sqref="C40"/>
    </sheetView>
  </sheetViews>
  <sheetFormatPr baseColWidth="10" defaultColWidth="7.5703125" defaultRowHeight="13"/>
  <cols>
    <col min="1" max="1" width="10.140625" customWidth="1"/>
    <col min="2" max="2" width="23.28515625" customWidth="1"/>
    <col min="4" max="4" width="10" customWidth="1"/>
    <col min="5" max="5" width="15.85546875" customWidth="1"/>
    <col min="6" max="6" width="10.140625" customWidth="1"/>
    <col min="7" max="24" width="7.85546875" customWidth="1"/>
  </cols>
  <sheetData>
    <row r="1" spans="1:31" ht="18">
      <c r="A1" s="1"/>
      <c r="B1" s="99" t="s">
        <v>500</v>
      </c>
      <c r="C1" s="100"/>
      <c r="D1" s="100"/>
      <c r="E1" s="100"/>
      <c r="F1" s="1"/>
      <c r="R1" s="2"/>
      <c r="S1" s="95" t="s">
        <v>501</v>
      </c>
      <c r="X1" s="2"/>
      <c r="Y1" s="2"/>
      <c r="AD1" s="2"/>
    </row>
    <row r="2" spans="1:31" ht="15">
      <c r="A2" s="1"/>
      <c r="B2" s="83" t="s">
        <v>502</v>
      </c>
      <c r="C2" s="4"/>
      <c r="D2" s="39" t="s">
        <v>503</v>
      </c>
      <c r="E2" s="5"/>
      <c r="F2" s="1"/>
      <c r="O2">
        <v>10</v>
      </c>
      <c r="Q2" t="s">
        <v>504</v>
      </c>
      <c r="R2" s="2">
        <v>1</v>
      </c>
      <c r="S2" s="2">
        <v>2</v>
      </c>
      <c r="V2" s="6">
        <v>2</v>
      </c>
      <c r="W2" s="6">
        <v>2</v>
      </c>
      <c r="X2" s="7">
        <v>1</v>
      </c>
      <c r="Y2" s="7">
        <v>2</v>
      </c>
      <c r="Z2" s="6">
        <v>1</v>
      </c>
      <c r="AA2" t="s">
        <v>65</v>
      </c>
      <c r="AB2" t="s">
        <v>506</v>
      </c>
      <c r="AC2" t="s">
        <v>507</v>
      </c>
      <c r="AD2" s="2">
        <v>1</v>
      </c>
    </row>
    <row r="3" spans="1:31" ht="14">
      <c r="A3" s="1"/>
      <c r="B3" s="8" t="s">
        <v>383</v>
      </c>
      <c r="C3" s="9"/>
      <c r="D3" s="40" t="s">
        <v>20</v>
      </c>
      <c r="E3" s="10"/>
      <c r="F3" s="1"/>
      <c r="Q3">
        <v>3</v>
      </c>
      <c r="R3" t="s">
        <v>384</v>
      </c>
      <c r="S3" s="35" t="s">
        <v>385</v>
      </c>
      <c r="T3" t="s">
        <v>501</v>
      </c>
      <c r="U3" s="11">
        <f>+IF(S$2=1,C22/20,C22)</f>
        <v>0</v>
      </c>
      <c r="V3" s="6" t="s">
        <v>385</v>
      </c>
      <c r="W3" s="6" t="s">
        <v>385</v>
      </c>
      <c r="X3" t="s">
        <v>384</v>
      </c>
      <c r="Y3" s="6" t="s">
        <v>385</v>
      </c>
      <c r="Z3" s="6" t="s">
        <v>385</v>
      </c>
      <c r="AA3" t="e">
        <f>+Y6/U3</f>
        <v>#DIV/0!</v>
      </c>
      <c r="AB3" t="e">
        <f>IF('Cax Graph'!D42="",+HLOOKUP(C16,'CAx Table'!B31:M32,2),'Cax Graph'!D42)</f>
        <v>#N/A</v>
      </c>
      <c r="AD3" t="s">
        <v>384</v>
      </c>
      <c r="AE3" t="s">
        <v>384</v>
      </c>
    </row>
    <row r="4" spans="1:31" ht="14">
      <c r="A4" s="1"/>
      <c r="B4" s="8" t="s">
        <v>386</v>
      </c>
      <c r="C4" s="9"/>
      <c r="D4" s="97" t="s">
        <v>19</v>
      </c>
      <c r="E4" s="10"/>
      <c r="F4" s="1"/>
      <c r="Q4">
        <v>4</v>
      </c>
      <c r="R4" t="s">
        <v>387</v>
      </c>
      <c r="S4" s="35" t="s">
        <v>388</v>
      </c>
      <c r="T4" t="s">
        <v>389</v>
      </c>
      <c r="U4" s="11">
        <f>+IF(S$2=1,C23/12,C23)</f>
        <v>0</v>
      </c>
      <c r="V4" s="6" t="s">
        <v>388</v>
      </c>
      <c r="W4" s="6" t="s">
        <v>388</v>
      </c>
      <c r="X4" s="6" t="s">
        <v>385</v>
      </c>
      <c r="Y4" s="6" t="s">
        <v>388</v>
      </c>
      <c r="Z4" s="6" t="s">
        <v>388</v>
      </c>
      <c r="AD4" t="s">
        <v>385</v>
      </c>
      <c r="AE4" t="s">
        <v>385</v>
      </c>
    </row>
    <row r="5" spans="1:31" ht="14">
      <c r="A5" s="1"/>
      <c r="B5" s="8" t="s">
        <v>390</v>
      </c>
      <c r="C5" s="9"/>
      <c r="D5" s="38"/>
      <c r="E5" s="12"/>
      <c r="F5" s="1"/>
      <c r="Q5">
        <v>5</v>
      </c>
      <c r="T5" t="s">
        <v>391</v>
      </c>
      <c r="U5" s="11">
        <f>+IF(S$2=1,C24/23,C24)</f>
        <v>0</v>
      </c>
      <c r="X5" s="6" t="s">
        <v>388</v>
      </c>
      <c r="Y5" t="s">
        <v>392</v>
      </c>
      <c r="AE5" t="s">
        <v>388</v>
      </c>
    </row>
    <row r="6" spans="1:31" ht="14">
      <c r="A6" s="1"/>
      <c r="B6" s="13" t="s">
        <v>488</v>
      </c>
      <c r="C6" s="14"/>
      <c r="D6" s="41" t="s">
        <v>393</v>
      </c>
      <c r="E6" s="42"/>
      <c r="F6" s="1"/>
      <c r="Q6">
        <v>6</v>
      </c>
      <c r="T6" t="s">
        <v>394</v>
      </c>
      <c r="U6" s="11" t="e">
        <f>+U5/(SQRT((U3+U4)/2))</f>
        <v>#DIV/0!</v>
      </c>
      <c r="X6" t="s">
        <v>395</v>
      </c>
      <c r="Y6">
        <f>+IF(Y$2=1,C35/61,C35)</f>
        <v>0</v>
      </c>
    </row>
    <row r="7" spans="1:31">
      <c r="A7" s="47" t="s">
        <v>396</v>
      </c>
      <c r="B7" s="15"/>
      <c r="C7" s="1"/>
      <c r="D7" s="86"/>
      <c r="E7" s="43" t="s">
        <v>397</v>
      </c>
      <c r="F7" s="1"/>
      <c r="Q7">
        <v>7</v>
      </c>
      <c r="X7">
        <f>+IF(X$2=1,C32/35,C32)</f>
        <v>0</v>
      </c>
    </row>
    <row r="8" spans="1:31">
      <c r="A8" s="48"/>
      <c r="B8" s="16"/>
      <c r="C8" s="1"/>
      <c r="D8" s="44"/>
      <c r="E8" s="43" t="s">
        <v>398</v>
      </c>
      <c r="F8" s="1"/>
      <c r="Q8">
        <v>8</v>
      </c>
    </row>
    <row r="9" spans="1:31">
      <c r="A9" s="48"/>
      <c r="B9" s="16"/>
      <c r="C9" s="1"/>
      <c r="D9" s="45"/>
      <c r="E9" s="43" t="s">
        <v>97</v>
      </c>
      <c r="F9" s="1"/>
      <c r="Q9">
        <v>9</v>
      </c>
    </row>
    <row r="10" spans="1:31">
      <c r="A10" s="80" t="s">
        <v>399</v>
      </c>
      <c r="B10" s="16"/>
      <c r="C10" s="1"/>
      <c r="D10" s="93" t="s">
        <v>384</v>
      </c>
      <c r="E10" s="46" t="s">
        <v>98</v>
      </c>
      <c r="F10" s="1"/>
      <c r="Q10">
        <v>10</v>
      </c>
    </row>
    <row r="11" spans="1:31">
      <c r="A11" s="47" t="s">
        <v>95</v>
      </c>
      <c r="B11" s="16"/>
      <c r="C11" s="47" t="s">
        <v>400</v>
      </c>
      <c r="D11" s="16"/>
      <c r="E11" s="87"/>
      <c r="F11" s="1"/>
      <c r="Q11">
        <v>11</v>
      </c>
    </row>
    <row r="12" spans="1:31">
      <c r="A12" s="48"/>
      <c r="B12" s="48"/>
      <c r="C12" s="48"/>
      <c r="D12" s="48"/>
      <c r="E12" s="50" t="s">
        <v>405</v>
      </c>
      <c r="F12" s="17"/>
    </row>
    <row r="13" spans="1:31" ht="14" thickBot="1">
      <c r="A13" s="51" t="s">
        <v>401</v>
      </c>
      <c r="B13" s="52" t="s">
        <v>402</v>
      </c>
      <c r="C13" s="53" t="s">
        <v>403</v>
      </c>
      <c r="D13" s="53" t="s">
        <v>404</v>
      </c>
      <c r="E13" s="54" t="s">
        <v>406</v>
      </c>
      <c r="F13" s="1"/>
      <c r="P13" t="s">
        <v>407</v>
      </c>
      <c r="Q13" s="18">
        <f>+ROUND(C16,1)</f>
        <v>0</v>
      </c>
      <c r="R13" t="e">
        <f>+HLOOKUP(Q13,$R$64:$BQ$65,2)</f>
        <v>#N/A</v>
      </c>
      <c r="S13" t="s">
        <v>408</v>
      </c>
      <c r="T13" s="18" t="e">
        <f>+U5/(SQRT((AB3+U4)/2))</f>
        <v>#N/A</v>
      </c>
    </row>
    <row r="14" spans="1:31">
      <c r="A14" s="47" t="s">
        <v>14</v>
      </c>
      <c r="B14" s="55" t="s">
        <v>504</v>
      </c>
      <c r="C14" s="56"/>
      <c r="D14" s="49" t="s">
        <v>387</v>
      </c>
      <c r="E14" s="88" t="str">
        <f>+IF(C14="","No Data","")</f>
        <v>No Data</v>
      </c>
      <c r="F14" s="1"/>
      <c r="P14" t="s">
        <v>394</v>
      </c>
      <c r="Q14" s="18" t="e">
        <f>+ROUND(C26,0)</f>
        <v>#VALUE!</v>
      </c>
      <c r="T14" t="e">
        <f>+HLOOKUP(Q13,$R$67:$BQ$68,2)</f>
        <v>#N/A</v>
      </c>
    </row>
    <row r="15" spans="1:31" ht="15">
      <c r="A15" s="48"/>
      <c r="B15" s="22" t="s">
        <v>409</v>
      </c>
      <c r="C15" s="57"/>
      <c r="D15" s="57"/>
      <c r="E15" s="58"/>
      <c r="F15" s="1"/>
      <c r="Q15" t="s">
        <v>410</v>
      </c>
      <c r="S15" s="6" t="s">
        <v>411</v>
      </c>
      <c r="T15" s="6">
        <v>0.7</v>
      </c>
      <c r="U15" s="6">
        <v>0.2</v>
      </c>
      <c r="V15" s="6" t="s">
        <v>412</v>
      </c>
    </row>
    <row r="16" spans="1:31">
      <c r="A16" s="47" t="s">
        <v>24</v>
      </c>
      <c r="B16" s="78" t="s">
        <v>99</v>
      </c>
      <c r="C16" s="59"/>
      <c r="D16" s="48" t="s">
        <v>413</v>
      </c>
      <c r="E16" s="85" t="str">
        <f>+IF(C16="","No Data","")</f>
        <v>No Data</v>
      </c>
      <c r="F16" s="1"/>
      <c r="Q16" t="s">
        <v>414</v>
      </c>
      <c r="S16" s="6" t="s">
        <v>435</v>
      </c>
      <c r="T16" s="6">
        <v>1.2</v>
      </c>
      <c r="U16" s="6">
        <v>0.3</v>
      </c>
      <c r="V16" s="6" t="s">
        <v>436</v>
      </c>
    </row>
    <row r="17" spans="1:69">
      <c r="A17" s="80" t="s">
        <v>12</v>
      </c>
      <c r="B17" s="78" t="s">
        <v>100</v>
      </c>
      <c r="C17" s="56"/>
      <c r="D17" s="48" t="s">
        <v>437</v>
      </c>
      <c r="E17" s="85" t="str">
        <f>+IF(C17="","No Data","")</f>
        <v>No Data</v>
      </c>
      <c r="F17" s="1"/>
      <c r="H17" s="19"/>
      <c r="Q17" t="s">
        <v>438</v>
      </c>
      <c r="S17" s="6" t="s">
        <v>439</v>
      </c>
      <c r="T17" s="6">
        <v>1.9</v>
      </c>
      <c r="U17" s="6">
        <v>0.5</v>
      </c>
      <c r="V17" s="6" t="s">
        <v>440</v>
      </c>
    </row>
    <row r="18" spans="1:69">
      <c r="A18" s="48"/>
      <c r="B18" s="82" t="s">
        <v>101</v>
      </c>
      <c r="C18" s="61" t="str">
        <f>+IF(C17="","",IF(C17&lt;=640,C17/640,C17/800))</f>
        <v/>
      </c>
      <c r="D18" s="48" t="s">
        <v>413</v>
      </c>
      <c r="E18" s="60"/>
      <c r="F18" s="1"/>
      <c r="H18" s="19"/>
      <c r="Q18" t="s">
        <v>441</v>
      </c>
      <c r="S18" s="6" t="s">
        <v>442</v>
      </c>
      <c r="T18" s="6">
        <v>2.9</v>
      </c>
      <c r="U18" s="6">
        <v>1.3</v>
      </c>
      <c r="V18" s="6" t="s">
        <v>443</v>
      </c>
    </row>
    <row r="19" spans="1:69">
      <c r="A19" s="48"/>
      <c r="B19" s="82" t="s">
        <v>102</v>
      </c>
      <c r="C19" s="62" t="str">
        <f>IF(C16="","",+IF(C16&lt;5,C16*640,C16*800))</f>
        <v/>
      </c>
      <c r="D19" s="48" t="s">
        <v>437</v>
      </c>
      <c r="E19" s="60"/>
      <c r="F19" s="1"/>
      <c r="Q19" t="s">
        <v>444</v>
      </c>
      <c r="S19" s="6" t="s">
        <v>445</v>
      </c>
      <c r="T19" s="6">
        <v>5</v>
      </c>
      <c r="U19" s="6">
        <v>2.9</v>
      </c>
      <c r="V19" s="6" t="s">
        <v>446</v>
      </c>
    </row>
    <row r="20" spans="1:69" ht="14">
      <c r="A20" s="48"/>
      <c r="B20" s="48"/>
      <c r="C20" s="48"/>
      <c r="D20" s="48"/>
      <c r="E20" s="60"/>
      <c r="F20" s="1"/>
      <c r="Q20" s="21" t="s">
        <v>447</v>
      </c>
    </row>
    <row r="21" spans="1:69" ht="15">
      <c r="A21" s="48"/>
      <c r="B21" s="22" t="s">
        <v>448</v>
      </c>
      <c r="C21" s="63"/>
      <c r="D21" s="98"/>
      <c r="E21" s="64"/>
      <c r="F21" s="1"/>
      <c r="Q21" t="s">
        <v>394</v>
      </c>
      <c r="R21">
        <v>0.1</v>
      </c>
      <c r="S21">
        <v>0.2</v>
      </c>
      <c r="T21" s="6">
        <v>0.3</v>
      </c>
      <c r="U21">
        <v>0.4</v>
      </c>
      <c r="V21">
        <v>0.5</v>
      </c>
      <c r="W21" s="6">
        <v>0.6</v>
      </c>
      <c r="X21">
        <v>0.7</v>
      </c>
      <c r="Y21">
        <v>0.8</v>
      </c>
      <c r="Z21" s="6">
        <v>0.9</v>
      </c>
      <c r="AA21">
        <v>1</v>
      </c>
      <c r="AB21">
        <v>1.1000000000000001</v>
      </c>
      <c r="AC21" s="6">
        <v>1.2</v>
      </c>
      <c r="AD21">
        <v>1.3</v>
      </c>
      <c r="AE21">
        <v>1.4</v>
      </c>
      <c r="AF21" s="6">
        <v>1.5</v>
      </c>
      <c r="AG21">
        <v>1.6</v>
      </c>
      <c r="AH21">
        <v>1.7</v>
      </c>
      <c r="AI21" s="6">
        <v>1.8</v>
      </c>
      <c r="AJ21">
        <v>1.9</v>
      </c>
      <c r="AK21">
        <v>2</v>
      </c>
      <c r="AL21" s="6">
        <v>2.1</v>
      </c>
      <c r="AM21">
        <v>2.2000000000000002</v>
      </c>
      <c r="AN21">
        <v>2.2999999999999998</v>
      </c>
      <c r="AO21" s="6">
        <v>2.4</v>
      </c>
      <c r="AP21">
        <v>2.5</v>
      </c>
      <c r="AQ21">
        <v>2.6</v>
      </c>
      <c r="AR21" s="6">
        <v>2.7</v>
      </c>
      <c r="AS21">
        <v>2.8</v>
      </c>
      <c r="AT21">
        <v>2.9</v>
      </c>
      <c r="AU21" s="6">
        <v>3</v>
      </c>
      <c r="AV21">
        <v>3.1</v>
      </c>
      <c r="AW21">
        <v>3.2</v>
      </c>
      <c r="AX21" s="6">
        <v>3.3</v>
      </c>
      <c r="AY21">
        <v>3.4</v>
      </c>
      <c r="AZ21">
        <v>3.5</v>
      </c>
      <c r="BA21" s="6">
        <v>3.6</v>
      </c>
      <c r="BB21">
        <v>3.7</v>
      </c>
      <c r="BC21">
        <v>3.8</v>
      </c>
      <c r="BD21" s="6">
        <v>3.9</v>
      </c>
      <c r="BE21">
        <v>4</v>
      </c>
      <c r="BF21">
        <v>4.0999999999999996</v>
      </c>
      <c r="BG21" s="6">
        <v>4.2</v>
      </c>
      <c r="BH21">
        <v>4.3</v>
      </c>
      <c r="BI21">
        <v>4.4000000000000004</v>
      </c>
      <c r="BJ21" s="6">
        <v>4.5</v>
      </c>
      <c r="BK21">
        <v>4.5999999999999996</v>
      </c>
      <c r="BL21">
        <v>4.7</v>
      </c>
      <c r="BM21" s="6">
        <v>4.8</v>
      </c>
      <c r="BN21">
        <v>4.9000000000000004</v>
      </c>
      <c r="BO21">
        <v>5</v>
      </c>
      <c r="BP21" s="6">
        <v>5.0999999999999996</v>
      </c>
      <c r="BQ21">
        <v>5.2</v>
      </c>
    </row>
    <row r="22" spans="1:69" ht="15" customHeight="1">
      <c r="A22" s="47" t="s">
        <v>10</v>
      </c>
      <c r="B22" s="55" t="s">
        <v>103</v>
      </c>
      <c r="C22" s="56"/>
      <c r="D22" s="63"/>
      <c r="E22" s="85" t="str">
        <f>+IF(C22,"","No Data")</f>
        <v>No Data</v>
      </c>
      <c r="F22" s="1"/>
      <c r="Q22">
        <v>0</v>
      </c>
      <c r="R22" t="s">
        <v>449</v>
      </c>
      <c r="S22" t="s">
        <v>450</v>
      </c>
      <c r="T22" t="s">
        <v>450</v>
      </c>
      <c r="U22" t="s">
        <v>450</v>
      </c>
      <c r="V22" t="s">
        <v>450</v>
      </c>
      <c r="W22" t="s">
        <v>450</v>
      </c>
      <c r="X22" t="s">
        <v>450</v>
      </c>
      <c r="Y22" t="s">
        <v>451</v>
      </c>
      <c r="Z22" t="s">
        <v>451</v>
      </c>
      <c r="AA22" t="s">
        <v>451</v>
      </c>
      <c r="AB22" t="s">
        <v>451</v>
      </c>
      <c r="AC22" t="s">
        <v>451</v>
      </c>
      <c r="AD22" t="s">
        <v>451</v>
      </c>
      <c r="AE22" t="s">
        <v>451</v>
      </c>
      <c r="AF22" t="s">
        <v>451</v>
      </c>
      <c r="AG22" t="s">
        <v>451</v>
      </c>
      <c r="AH22" t="s">
        <v>451</v>
      </c>
      <c r="AI22" t="s">
        <v>451</v>
      </c>
      <c r="AJ22" t="s">
        <v>451</v>
      </c>
      <c r="AK22" t="s">
        <v>451</v>
      </c>
      <c r="AL22" t="s">
        <v>451</v>
      </c>
      <c r="AM22" t="s">
        <v>451</v>
      </c>
      <c r="AN22" t="s">
        <v>451</v>
      </c>
      <c r="AO22" t="s">
        <v>451</v>
      </c>
      <c r="AP22" t="s">
        <v>451</v>
      </c>
      <c r="AQ22" t="s">
        <v>451</v>
      </c>
      <c r="AR22" t="s">
        <v>451</v>
      </c>
      <c r="AS22" t="s">
        <v>451</v>
      </c>
      <c r="AT22" t="s">
        <v>451</v>
      </c>
      <c r="AU22" t="s">
        <v>451</v>
      </c>
      <c r="AV22" t="s">
        <v>451</v>
      </c>
      <c r="AW22" t="s">
        <v>451</v>
      </c>
      <c r="AX22" t="s">
        <v>451</v>
      </c>
      <c r="AY22" t="s">
        <v>451</v>
      </c>
      <c r="AZ22" t="s">
        <v>451</v>
      </c>
      <c r="BA22" t="s">
        <v>451</v>
      </c>
      <c r="BB22" t="s">
        <v>451</v>
      </c>
      <c r="BC22" t="s">
        <v>451</v>
      </c>
      <c r="BD22" t="s">
        <v>451</v>
      </c>
      <c r="BE22" t="s">
        <v>451</v>
      </c>
      <c r="BF22" t="s">
        <v>451</v>
      </c>
      <c r="BG22" t="s">
        <v>451</v>
      </c>
      <c r="BH22" t="s">
        <v>451</v>
      </c>
      <c r="BI22" t="s">
        <v>451</v>
      </c>
      <c r="BJ22" t="s">
        <v>451</v>
      </c>
      <c r="BK22" t="s">
        <v>451</v>
      </c>
      <c r="BL22" t="s">
        <v>451</v>
      </c>
      <c r="BM22" t="s">
        <v>451</v>
      </c>
      <c r="BN22" t="s">
        <v>451</v>
      </c>
      <c r="BO22" t="s">
        <v>451</v>
      </c>
      <c r="BP22" t="s">
        <v>451</v>
      </c>
      <c r="BQ22" t="s">
        <v>451</v>
      </c>
    </row>
    <row r="23" spans="1:69" ht="15" customHeight="1">
      <c r="A23" s="47" t="s">
        <v>10</v>
      </c>
      <c r="B23" s="55" t="s">
        <v>104</v>
      </c>
      <c r="C23" s="56"/>
      <c r="D23" s="60"/>
      <c r="E23" s="85" t="str">
        <f>+IF(C23,"","No Data")</f>
        <v>No Data</v>
      </c>
      <c r="F23" s="1"/>
      <c r="Q23">
        <v>1</v>
      </c>
      <c r="R23" t="s">
        <v>449</v>
      </c>
      <c r="S23" t="s">
        <v>450</v>
      </c>
      <c r="T23" t="s">
        <v>450</v>
      </c>
      <c r="U23" t="s">
        <v>450</v>
      </c>
      <c r="V23" t="s">
        <v>450</v>
      </c>
      <c r="W23" t="s">
        <v>450</v>
      </c>
      <c r="X23" t="s">
        <v>450</v>
      </c>
      <c r="Y23" t="s">
        <v>451</v>
      </c>
      <c r="Z23" t="s">
        <v>451</v>
      </c>
      <c r="AA23" t="s">
        <v>451</v>
      </c>
      <c r="AB23" t="s">
        <v>451</v>
      </c>
      <c r="AC23" t="s">
        <v>451</v>
      </c>
      <c r="AD23" t="s">
        <v>451</v>
      </c>
      <c r="AE23" t="s">
        <v>451</v>
      </c>
      <c r="AF23" t="s">
        <v>451</v>
      </c>
      <c r="AG23" t="s">
        <v>451</v>
      </c>
      <c r="AH23" t="s">
        <v>451</v>
      </c>
      <c r="AI23" t="s">
        <v>451</v>
      </c>
      <c r="AJ23" t="s">
        <v>451</v>
      </c>
      <c r="AK23" t="s">
        <v>451</v>
      </c>
      <c r="AL23" t="s">
        <v>451</v>
      </c>
      <c r="AM23" t="s">
        <v>451</v>
      </c>
      <c r="AN23" t="s">
        <v>451</v>
      </c>
      <c r="AO23" t="s">
        <v>451</v>
      </c>
      <c r="AP23" t="s">
        <v>451</v>
      </c>
      <c r="AQ23" t="s">
        <v>451</v>
      </c>
      <c r="AR23" t="s">
        <v>451</v>
      </c>
      <c r="AS23" t="s">
        <v>451</v>
      </c>
      <c r="AT23" t="s">
        <v>451</v>
      </c>
      <c r="AU23" t="s">
        <v>451</v>
      </c>
      <c r="AV23" t="s">
        <v>451</v>
      </c>
      <c r="AW23" t="s">
        <v>451</v>
      </c>
      <c r="AX23" t="s">
        <v>451</v>
      </c>
      <c r="AY23" t="s">
        <v>451</v>
      </c>
      <c r="AZ23" t="s">
        <v>451</v>
      </c>
      <c r="BA23" t="s">
        <v>451</v>
      </c>
      <c r="BB23" t="s">
        <v>451</v>
      </c>
      <c r="BC23" t="s">
        <v>451</v>
      </c>
      <c r="BD23" t="s">
        <v>451</v>
      </c>
      <c r="BE23" t="s">
        <v>451</v>
      </c>
      <c r="BF23" t="s">
        <v>451</v>
      </c>
      <c r="BG23" t="s">
        <v>451</v>
      </c>
      <c r="BH23" t="s">
        <v>451</v>
      </c>
      <c r="BI23" t="s">
        <v>451</v>
      </c>
      <c r="BJ23" t="s">
        <v>451</v>
      </c>
      <c r="BK23" t="s">
        <v>451</v>
      </c>
      <c r="BL23" t="s">
        <v>451</v>
      </c>
      <c r="BM23" t="s">
        <v>451</v>
      </c>
      <c r="BN23" t="s">
        <v>451</v>
      </c>
      <c r="BO23" t="s">
        <v>451</v>
      </c>
      <c r="BP23" t="s">
        <v>451</v>
      </c>
      <c r="BQ23" t="s">
        <v>451</v>
      </c>
    </row>
    <row r="24" spans="1:69" ht="15" customHeight="1">
      <c r="A24" s="47" t="s">
        <v>10</v>
      </c>
      <c r="B24" s="55" t="s">
        <v>105</v>
      </c>
      <c r="C24" s="56"/>
      <c r="D24" s="60"/>
      <c r="E24" s="85" t="str">
        <f>+IF(C24,"","No Data")</f>
        <v>No Data</v>
      </c>
      <c r="F24" s="1"/>
      <c r="Q24">
        <v>2</v>
      </c>
      <c r="R24" t="s">
        <v>449</v>
      </c>
      <c r="S24" t="s">
        <v>450</v>
      </c>
      <c r="T24" t="s">
        <v>450</v>
      </c>
      <c r="U24" t="s">
        <v>450</v>
      </c>
      <c r="V24" t="s">
        <v>450</v>
      </c>
      <c r="W24" t="s">
        <v>450</v>
      </c>
      <c r="X24" t="s">
        <v>450</v>
      </c>
      <c r="Y24" t="s">
        <v>451</v>
      </c>
      <c r="Z24" t="s">
        <v>451</v>
      </c>
      <c r="AA24" t="s">
        <v>451</v>
      </c>
      <c r="AB24" t="s">
        <v>451</v>
      </c>
      <c r="AC24" t="s">
        <v>451</v>
      </c>
      <c r="AD24" t="s">
        <v>451</v>
      </c>
      <c r="AE24" t="s">
        <v>451</v>
      </c>
      <c r="AF24" t="s">
        <v>451</v>
      </c>
      <c r="AG24" t="s">
        <v>451</v>
      </c>
      <c r="AH24" t="s">
        <v>451</v>
      </c>
      <c r="AI24" t="s">
        <v>451</v>
      </c>
      <c r="AJ24" t="s">
        <v>451</v>
      </c>
      <c r="AK24" t="s">
        <v>451</v>
      </c>
      <c r="AL24" t="s">
        <v>451</v>
      </c>
      <c r="AM24" t="s">
        <v>451</v>
      </c>
      <c r="AN24" t="s">
        <v>451</v>
      </c>
      <c r="AO24" t="s">
        <v>451</v>
      </c>
      <c r="AP24" t="s">
        <v>451</v>
      </c>
      <c r="AQ24" t="s">
        <v>451</v>
      </c>
      <c r="AR24" t="s">
        <v>451</v>
      </c>
      <c r="AS24" t="s">
        <v>451</v>
      </c>
      <c r="AT24" t="s">
        <v>451</v>
      </c>
      <c r="AU24" t="s">
        <v>451</v>
      </c>
      <c r="AV24" t="s">
        <v>451</v>
      </c>
      <c r="AW24" t="s">
        <v>451</v>
      </c>
      <c r="AX24" t="s">
        <v>451</v>
      </c>
      <c r="AY24" t="s">
        <v>451</v>
      </c>
      <c r="AZ24" t="s">
        <v>451</v>
      </c>
      <c r="BA24" t="s">
        <v>451</v>
      </c>
      <c r="BB24" t="s">
        <v>451</v>
      </c>
      <c r="BC24" t="s">
        <v>451</v>
      </c>
      <c r="BD24" t="s">
        <v>451</v>
      </c>
      <c r="BE24" t="s">
        <v>451</v>
      </c>
      <c r="BF24" t="s">
        <v>451</v>
      </c>
      <c r="BG24" t="s">
        <v>451</v>
      </c>
      <c r="BH24" t="s">
        <v>451</v>
      </c>
      <c r="BI24" t="s">
        <v>451</v>
      </c>
      <c r="BJ24" t="s">
        <v>451</v>
      </c>
      <c r="BK24" t="s">
        <v>451</v>
      </c>
      <c r="BL24" t="s">
        <v>451</v>
      </c>
      <c r="BM24" t="s">
        <v>451</v>
      </c>
      <c r="BN24" t="s">
        <v>451</v>
      </c>
      <c r="BO24" t="s">
        <v>451</v>
      </c>
      <c r="BP24" t="s">
        <v>451</v>
      </c>
      <c r="BQ24" t="s">
        <v>451</v>
      </c>
    </row>
    <row r="25" spans="1:69" ht="15" customHeight="1">
      <c r="A25" s="23"/>
      <c r="B25" s="47"/>
      <c r="C25" s="65"/>
      <c r="D25" s="48"/>
      <c r="E25" s="60"/>
      <c r="F25" s="1"/>
      <c r="Q25">
        <v>3</v>
      </c>
      <c r="R25" t="s">
        <v>449</v>
      </c>
      <c r="S25" t="s">
        <v>450</v>
      </c>
      <c r="T25" t="s">
        <v>450</v>
      </c>
      <c r="U25" t="s">
        <v>450</v>
      </c>
      <c r="V25" t="s">
        <v>450</v>
      </c>
      <c r="W25" t="s">
        <v>450</v>
      </c>
      <c r="X25" t="s">
        <v>450</v>
      </c>
      <c r="Y25" t="s">
        <v>451</v>
      </c>
      <c r="Z25" t="s">
        <v>451</v>
      </c>
      <c r="AA25" t="s">
        <v>451</v>
      </c>
      <c r="AB25" t="s">
        <v>451</v>
      </c>
      <c r="AC25" t="s">
        <v>451</v>
      </c>
      <c r="AD25" t="s">
        <v>451</v>
      </c>
      <c r="AE25" t="s">
        <v>451</v>
      </c>
      <c r="AF25" t="s">
        <v>451</v>
      </c>
      <c r="AG25" t="s">
        <v>451</v>
      </c>
      <c r="AH25" t="s">
        <v>451</v>
      </c>
      <c r="AI25" t="s">
        <v>451</v>
      </c>
      <c r="AJ25" t="s">
        <v>451</v>
      </c>
      <c r="AK25" t="s">
        <v>451</v>
      </c>
      <c r="AL25" t="s">
        <v>451</v>
      </c>
      <c r="AM25" t="s">
        <v>451</v>
      </c>
      <c r="AN25" t="s">
        <v>451</v>
      </c>
      <c r="AO25" t="s">
        <v>451</v>
      </c>
      <c r="AP25" t="s">
        <v>451</v>
      </c>
      <c r="AQ25" t="s">
        <v>451</v>
      </c>
      <c r="AR25" t="s">
        <v>451</v>
      </c>
      <c r="AS25" t="s">
        <v>451</v>
      </c>
      <c r="AT25" t="s">
        <v>451</v>
      </c>
      <c r="AU25" t="s">
        <v>451</v>
      </c>
      <c r="AV25" t="s">
        <v>451</v>
      </c>
      <c r="AW25" t="s">
        <v>451</v>
      </c>
      <c r="AX25" t="s">
        <v>451</v>
      </c>
      <c r="AY25" t="s">
        <v>451</v>
      </c>
      <c r="AZ25" t="s">
        <v>451</v>
      </c>
      <c r="BA25" t="s">
        <v>451</v>
      </c>
      <c r="BB25" t="s">
        <v>451</v>
      </c>
      <c r="BC25" t="s">
        <v>451</v>
      </c>
      <c r="BD25" t="s">
        <v>451</v>
      </c>
      <c r="BE25" t="s">
        <v>451</v>
      </c>
      <c r="BF25" t="s">
        <v>451</v>
      </c>
      <c r="BG25" t="s">
        <v>451</v>
      </c>
      <c r="BH25" t="s">
        <v>451</v>
      </c>
      <c r="BI25" t="s">
        <v>451</v>
      </c>
      <c r="BJ25" t="s">
        <v>451</v>
      </c>
      <c r="BK25" t="s">
        <v>451</v>
      </c>
      <c r="BL25" t="s">
        <v>451</v>
      </c>
      <c r="BM25" t="s">
        <v>451</v>
      </c>
      <c r="BN25" t="s">
        <v>451</v>
      </c>
      <c r="BO25" t="s">
        <v>451</v>
      </c>
      <c r="BP25" t="s">
        <v>451</v>
      </c>
      <c r="BQ25" t="s">
        <v>451</v>
      </c>
    </row>
    <row r="26" spans="1:69" ht="14">
      <c r="A26" s="23"/>
      <c r="B26" s="78" t="s">
        <v>106</v>
      </c>
      <c r="C26" s="61" t="str">
        <f>IF(C22="","",IF(S2=1,U6,C24/(SQRT((C22+C23)/2))))</f>
        <v/>
      </c>
      <c r="D26" s="48"/>
      <c r="E26" s="60" t="s">
        <v>452</v>
      </c>
      <c r="F26" s="1"/>
      <c r="Q26">
        <v>4</v>
      </c>
      <c r="R26" t="s">
        <v>449</v>
      </c>
      <c r="S26" t="s">
        <v>449</v>
      </c>
      <c r="T26" t="s">
        <v>450</v>
      </c>
      <c r="U26" t="s">
        <v>450</v>
      </c>
      <c r="V26" t="s">
        <v>450</v>
      </c>
      <c r="W26" t="s">
        <v>450</v>
      </c>
      <c r="X26" t="s">
        <v>450</v>
      </c>
      <c r="Y26" t="s">
        <v>450</v>
      </c>
      <c r="Z26" t="s">
        <v>450</v>
      </c>
      <c r="AA26" t="s">
        <v>450</v>
      </c>
      <c r="AB26" t="s">
        <v>450</v>
      </c>
      <c r="AC26" t="s">
        <v>450</v>
      </c>
      <c r="AD26" t="s">
        <v>451</v>
      </c>
      <c r="AE26" t="s">
        <v>451</v>
      </c>
      <c r="AF26" t="s">
        <v>451</v>
      </c>
      <c r="AG26" t="s">
        <v>451</v>
      </c>
      <c r="AH26" t="s">
        <v>451</v>
      </c>
      <c r="AI26" t="s">
        <v>451</v>
      </c>
      <c r="AJ26" t="s">
        <v>451</v>
      </c>
      <c r="AK26" t="s">
        <v>451</v>
      </c>
      <c r="AL26" t="s">
        <v>451</v>
      </c>
      <c r="AM26" t="s">
        <v>451</v>
      </c>
      <c r="AN26" t="s">
        <v>451</v>
      </c>
      <c r="AO26" t="s">
        <v>451</v>
      </c>
      <c r="AP26" t="s">
        <v>451</v>
      </c>
      <c r="AQ26" t="s">
        <v>451</v>
      </c>
      <c r="AR26" t="s">
        <v>451</v>
      </c>
      <c r="AS26" t="s">
        <v>451</v>
      </c>
      <c r="AT26" t="s">
        <v>451</v>
      </c>
      <c r="AU26" t="s">
        <v>451</v>
      </c>
      <c r="AV26" t="s">
        <v>451</v>
      </c>
      <c r="AW26" t="s">
        <v>451</v>
      </c>
      <c r="AX26" t="s">
        <v>451</v>
      </c>
      <c r="AY26" t="s">
        <v>451</v>
      </c>
      <c r="AZ26" t="s">
        <v>451</v>
      </c>
      <c r="BA26" t="s">
        <v>451</v>
      </c>
      <c r="BB26" t="s">
        <v>451</v>
      </c>
      <c r="BC26" t="s">
        <v>451</v>
      </c>
      <c r="BD26" t="s">
        <v>451</v>
      </c>
      <c r="BE26" t="s">
        <v>451</v>
      </c>
      <c r="BF26" t="s">
        <v>451</v>
      </c>
      <c r="BG26" t="s">
        <v>451</v>
      </c>
      <c r="BH26" t="s">
        <v>451</v>
      </c>
      <c r="BI26" t="s">
        <v>451</v>
      </c>
      <c r="BJ26" t="s">
        <v>451</v>
      </c>
      <c r="BK26" t="s">
        <v>451</v>
      </c>
      <c r="BL26" t="s">
        <v>451</v>
      </c>
      <c r="BM26" t="s">
        <v>451</v>
      </c>
      <c r="BN26" t="s">
        <v>451</v>
      </c>
      <c r="BO26" t="s">
        <v>451</v>
      </c>
      <c r="BP26" t="s">
        <v>451</v>
      </c>
      <c r="BQ26" t="s">
        <v>451</v>
      </c>
    </row>
    <row r="27" spans="1:69">
      <c r="A27" s="48"/>
      <c r="B27" s="55" t="s">
        <v>453</v>
      </c>
      <c r="C27" s="61" t="str">
        <f>IF(C26="","",IF(S2=1,T13,C24/(SQRT((AB3+C23)/2))))</f>
        <v/>
      </c>
      <c r="D27" s="48"/>
      <c r="E27" s="60"/>
      <c r="F27" s="1"/>
      <c r="Q27">
        <v>5</v>
      </c>
      <c r="R27" t="s">
        <v>449</v>
      </c>
      <c r="S27" t="s">
        <v>449</v>
      </c>
      <c r="T27" t="s">
        <v>450</v>
      </c>
      <c r="U27" t="s">
        <v>450</v>
      </c>
      <c r="V27" t="s">
        <v>450</v>
      </c>
      <c r="W27" t="s">
        <v>450</v>
      </c>
      <c r="X27" t="s">
        <v>450</v>
      </c>
      <c r="Y27" t="s">
        <v>450</v>
      </c>
      <c r="Z27" t="s">
        <v>450</v>
      </c>
      <c r="AA27" t="s">
        <v>450</v>
      </c>
      <c r="AB27" t="s">
        <v>450</v>
      </c>
      <c r="AC27" t="s">
        <v>450</v>
      </c>
      <c r="AD27" t="s">
        <v>451</v>
      </c>
      <c r="AE27" t="s">
        <v>451</v>
      </c>
      <c r="AF27" t="s">
        <v>451</v>
      </c>
      <c r="AG27" t="s">
        <v>451</v>
      </c>
      <c r="AH27" t="s">
        <v>451</v>
      </c>
      <c r="AI27" t="s">
        <v>451</v>
      </c>
      <c r="AJ27" t="s">
        <v>451</v>
      </c>
      <c r="AK27" t="s">
        <v>451</v>
      </c>
      <c r="AL27" t="s">
        <v>451</v>
      </c>
      <c r="AM27" t="s">
        <v>451</v>
      </c>
      <c r="AN27" t="s">
        <v>451</v>
      </c>
      <c r="AO27" t="s">
        <v>451</v>
      </c>
      <c r="AP27" t="s">
        <v>451</v>
      </c>
      <c r="AQ27" t="s">
        <v>451</v>
      </c>
      <c r="AR27" t="s">
        <v>451</v>
      </c>
      <c r="AS27" t="s">
        <v>451</v>
      </c>
      <c r="AT27" t="s">
        <v>451</v>
      </c>
      <c r="AU27" t="s">
        <v>451</v>
      </c>
      <c r="AV27" t="s">
        <v>451</v>
      </c>
      <c r="AW27" t="s">
        <v>451</v>
      </c>
      <c r="AX27" t="s">
        <v>451</v>
      </c>
      <c r="AY27" t="s">
        <v>451</v>
      </c>
      <c r="AZ27" t="s">
        <v>451</v>
      </c>
      <c r="BA27" t="s">
        <v>451</v>
      </c>
      <c r="BB27" t="s">
        <v>451</v>
      </c>
      <c r="BC27" t="s">
        <v>451</v>
      </c>
      <c r="BD27" t="s">
        <v>451</v>
      </c>
      <c r="BE27" t="s">
        <v>451</v>
      </c>
      <c r="BF27" t="s">
        <v>451</v>
      </c>
      <c r="BG27" t="s">
        <v>451</v>
      </c>
      <c r="BH27" t="s">
        <v>451</v>
      </c>
      <c r="BI27" t="s">
        <v>451</v>
      </c>
      <c r="BJ27" t="s">
        <v>451</v>
      </c>
      <c r="BK27" t="s">
        <v>451</v>
      </c>
      <c r="BL27" t="s">
        <v>451</v>
      </c>
      <c r="BM27" t="s">
        <v>451</v>
      </c>
      <c r="BN27" t="s">
        <v>451</v>
      </c>
      <c r="BO27" t="s">
        <v>451</v>
      </c>
      <c r="BP27" t="s">
        <v>451</v>
      </c>
      <c r="BQ27" t="s">
        <v>451</v>
      </c>
    </row>
    <row r="28" spans="1:69" ht="15">
      <c r="A28" s="48"/>
      <c r="B28" s="22" t="s">
        <v>454</v>
      </c>
      <c r="C28" s="63"/>
      <c r="D28" s="63"/>
      <c r="E28" s="64"/>
      <c r="F28" s="1"/>
      <c r="Q28">
        <v>6</v>
      </c>
      <c r="R28" t="s">
        <v>449</v>
      </c>
      <c r="S28" t="s">
        <v>449</v>
      </c>
      <c r="T28" t="s">
        <v>450</v>
      </c>
      <c r="U28" t="s">
        <v>450</v>
      </c>
      <c r="V28" t="s">
        <v>450</v>
      </c>
      <c r="W28" t="s">
        <v>450</v>
      </c>
      <c r="X28" t="s">
        <v>450</v>
      </c>
      <c r="Y28" t="s">
        <v>450</v>
      </c>
      <c r="Z28" t="s">
        <v>450</v>
      </c>
      <c r="AA28" t="s">
        <v>450</v>
      </c>
      <c r="AB28" t="s">
        <v>450</v>
      </c>
      <c r="AC28" t="s">
        <v>450</v>
      </c>
      <c r="AD28" t="s">
        <v>451</v>
      </c>
      <c r="AE28" t="s">
        <v>451</v>
      </c>
      <c r="AF28" t="s">
        <v>451</v>
      </c>
      <c r="AG28" t="s">
        <v>451</v>
      </c>
      <c r="AH28" t="s">
        <v>451</v>
      </c>
      <c r="AI28" t="s">
        <v>451</v>
      </c>
      <c r="AJ28" t="s">
        <v>451</v>
      </c>
      <c r="AK28" t="s">
        <v>451</v>
      </c>
      <c r="AL28" t="s">
        <v>451</v>
      </c>
      <c r="AM28" t="s">
        <v>451</v>
      </c>
      <c r="AN28" t="s">
        <v>451</v>
      </c>
      <c r="AO28" t="s">
        <v>451</v>
      </c>
      <c r="AP28" t="s">
        <v>451</v>
      </c>
      <c r="AQ28" t="s">
        <v>451</v>
      </c>
      <c r="AR28" t="s">
        <v>451</v>
      </c>
      <c r="AS28" t="s">
        <v>451</v>
      </c>
      <c r="AT28" t="s">
        <v>451</v>
      </c>
      <c r="AU28" t="s">
        <v>451</v>
      </c>
      <c r="AV28" t="s">
        <v>451</v>
      </c>
      <c r="AW28" t="s">
        <v>451</v>
      </c>
      <c r="AX28" t="s">
        <v>451</v>
      </c>
      <c r="AY28" t="s">
        <v>451</v>
      </c>
      <c r="AZ28" t="s">
        <v>451</v>
      </c>
      <c r="BA28" t="s">
        <v>451</v>
      </c>
      <c r="BB28" t="s">
        <v>451</v>
      </c>
      <c r="BC28" t="s">
        <v>451</v>
      </c>
      <c r="BD28" t="s">
        <v>451</v>
      </c>
      <c r="BE28" t="s">
        <v>451</v>
      </c>
      <c r="BF28" t="s">
        <v>451</v>
      </c>
      <c r="BG28" t="s">
        <v>451</v>
      </c>
      <c r="BH28" t="s">
        <v>451</v>
      </c>
      <c r="BI28" t="s">
        <v>451</v>
      </c>
      <c r="BJ28" t="s">
        <v>451</v>
      </c>
      <c r="BK28" t="s">
        <v>451</v>
      </c>
      <c r="BL28" t="s">
        <v>451</v>
      </c>
      <c r="BM28" t="s">
        <v>451</v>
      </c>
      <c r="BN28" t="s">
        <v>451</v>
      </c>
      <c r="BO28" t="s">
        <v>451</v>
      </c>
      <c r="BP28" t="s">
        <v>451</v>
      </c>
      <c r="BQ28" t="s">
        <v>451</v>
      </c>
    </row>
    <row r="29" spans="1:69">
      <c r="A29" s="48"/>
      <c r="B29" s="55" t="s">
        <v>3</v>
      </c>
      <c r="C29" s="61" t="str">
        <f>IF(C24="","",+U5)</f>
        <v/>
      </c>
      <c r="D29" s="48" t="str">
        <f>+IF(S2=2,"meq/l","mg/l")</f>
        <v>meq/l</v>
      </c>
      <c r="E29" s="85" t="str">
        <f>+IF(C24="","No Data","")</f>
        <v>No Data</v>
      </c>
      <c r="F29" s="1"/>
      <c r="Q29">
        <v>7</v>
      </c>
      <c r="R29" t="s">
        <v>449</v>
      </c>
      <c r="S29" t="s">
        <v>449</v>
      </c>
      <c r="T29" t="s">
        <v>449</v>
      </c>
      <c r="U29" t="s">
        <v>449</v>
      </c>
      <c r="V29" t="s">
        <v>450</v>
      </c>
      <c r="W29" t="s">
        <v>450</v>
      </c>
      <c r="X29" t="s">
        <v>450</v>
      </c>
      <c r="Y29" t="s">
        <v>450</v>
      </c>
      <c r="Z29" t="s">
        <v>450</v>
      </c>
      <c r="AA29" t="s">
        <v>450</v>
      </c>
      <c r="AB29" t="s">
        <v>450</v>
      </c>
      <c r="AC29" t="s">
        <v>450</v>
      </c>
      <c r="AD29" t="s">
        <v>450</v>
      </c>
      <c r="AE29" t="s">
        <v>450</v>
      </c>
      <c r="AF29" t="s">
        <v>450</v>
      </c>
      <c r="AG29" t="s">
        <v>450</v>
      </c>
      <c r="AH29" t="s">
        <v>450</v>
      </c>
      <c r="AI29" t="s">
        <v>450</v>
      </c>
      <c r="AJ29" t="s">
        <v>450</v>
      </c>
      <c r="AK29" t="s">
        <v>451</v>
      </c>
      <c r="AL29" t="s">
        <v>451</v>
      </c>
      <c r="AM29" t="s">
        <v>451</v>
      </c>
      <c r="AN29" t="s">
        <v>451</v>
      </c>
      <c r="AO29" t="s">
        <v>451</v>
      </c>
      <c r="AP29" t="s">
        <v>451</v>
      </c>
      <c r="AQ29" t="s">
        <v>451</v>
      </c>
      <c r="AR29" t="s">
        <v>451</v>
      </c>
      <c r="AS29" t="s">
        <v>451</v>
      </c>
      <c r="AT29" t="s">
        <v>451</v>
      </c>
      <c r="AU29" t="s">
        <v>451</v>
      </c>
      <c r="AV29" t="s">
        <v>451</v>
      </c>
      <c r="AW29" t="s">
        <v>451</v>
      </c>
      <c r="AX29" t="s">
        <v>451</v>
      </c>
      <c r="AY29" t="s">
        <v>451</v>
      </c>
      <c r="AZ29" t="s">
        <v>451</v>
      </c>
      <c r="BA29" t="s">
        <v>451</v>
      </c>
      <c r="BB29" t="s">
        <v>451</v>
      </c>
      <c r="BC29" t="s">
        <v>451</v>
      </c>
      <c r="BD29" t="s">
        <v>451</v>
      </c>
      <c r="BE29" t="s">
        <v>451</v>
      </c>
      <c r="BF29" t="s">
        <v>451</v>
      </c>
      <c r="BG29" t="s">
        <v>451</v>
      </c>
      <c r="BH29" t="s">
        <v>451</v>
      </c>
      <c r="BI29" t="s">
        <v>451</v>
      </c>
      <c r="BJ29" t="s">
        <v>451</v>
      </c>
      <c r="BK29" t="s">
        <v>451</v>
      </c>
      <c r="BL29" t="s">
        <v>451</v>
      </c>
      <c r="BM29" t="s">
        <v>451</v>
      </c>
      <c r="BN29" t="s">
        <v>451</v>
      </c>
      <c r="BO29" t="s">
        <v>451</v>
      </c>
      <c r="BP29" t="s">
        <v>451</v>
      </c>
      <c r="BQ29" t="s">
        <v>451</v>
      </c>
    </row>
    <row r="30" spans="1:69">
      <c r="A30" s="48"/>
      <c r="B30" s="55" t="s">
        <v>4</v>
      </c>
      <c r="C30" s="61" t="str">
        <f>IF(C24="","",+U5)</f>
        <v/>
      </c>
      <c r="D30" s="48" t="str">
        <f>+IF(S2=2,"meq/l","mg/l")</f>
        <v>meq/l</v>
      </c>
      <c r="E30" s="85" t="str">
        <f>+IF(C24="","No Data","")</f>
        <v>No Data</v>
      </c>
      <c r="F30" s="1"/>
      <c r="Q30">
        <v>8</v>
      </c>
      <c r="R30" t="s">
        <v>449</v>
      </c>
      <c r="S30" t="s">
        <v>449</v>
      </c>
      <c r="T30" t="s">
        <v>449</v>
      </c>
      <c r="U30" t="s">
        <v>449</v>
      </c>
      <c r="V30" t="s">
        <v>450</v>
      </c>
      <c r="W30" t="s">
        <v>450</v>
      </c>
      <c r="X30" t="s">
        <v>450</v>
      </c>
      <c r="Y30" t="s">
        <v>450</v>
      </c>
      <c r="Z30" t="s">
        <v>450</v>
      </c>
      <c r="AA30" t="s">
        <v>450</v>
      </c>
      <c r="AB30" t="s">
        <v>450</v>
      </c>
      <c r="AC30" t="s">
        <v>450</v>
      </c>
      <c r="AD30" t="s">
        <v>450</v>
      </c>
      <c r="AE30" t="s">
        <v>450</v>
      </c>
      <c r="AF30" t="s">
        <v>450</v>
      </c>
      <c r="AG30" t="s">
        <v>450</v>
      </c>
      <c r="AH30" t="s">
        <v>450</v>
      </c>
      <c r="AI30" t="s">
        <v>450</v>
      </c>
      <c r="AJ30" t="s">
        <v>450</v>
      </c>
      <c r="AK30" t="s">
        <v>451</v>
      </c>
      <c r="AL30" t="s">
        <v>451</v>
      </c>
      <c r="AM30" t="s">
        <v>451</v>
      </c>
      <c r="AN30" t="s">
        <v>451</v>
      </c>
      <c r="AO30" t="s">
        <v>451</v>
      </c>
      <c r="AP30" t="s">
        <v>451</v>
      </c>
      <c r="AQ30" t="s">
        <v>451</v>
      </c>
      <c r="AR30" t="s">
        <v>451</v>
      </c>
      <c r="AS30" t="s">
        <v>451</v>
      </c>
      <c r="AT30" t="s">
        <v>451</v>
      </c>
      <c r="AU30" t="s">
        <v>451</v>
      </c>
      <c r="AV30" t="s">
        <v>451</v>
      </c>
      <c r="AW30" t="s">
        <v>451</v>
      </c>
      <c r="AX30" t="s">
        <v>451</v>
      </c>
      <c r="AY30" t="s">
        <v>451</v>
      </c>
      <c r="AZ30" t="s">
        <v>451</v>
      </c>
      <c r="BA30" t="s">
        <v>451</v>
      </c>
      <c r="BB30" t="s">
        <v>451</v>
      </c>
      <c r="BC30" t="s">
        <v>451</v>
      </c>
      <c r="BD30" t="s">
        <v>451</v>
      </c>
      <c r="BE30" t="s">
        <v>451</v>
      </c>
      <c r="BF30" t="s">
        <v>451</v>
      </c>
      <c r="BG30" t="s">
        <v>451</v>
      </c>
      <c r="BH30" t="s">
        <v>451</v>
      </c>
      <c r="BI30" t="s">
        <v>451</v>
      </c>
      <c r="BJ30" t="s">
        <v>451</v>
      </c>
      <c r="BK30" t="s">
        <v>451</v>
      </c>
      <c r="BL30" t="s">
        <v>451</v>
      </c>
      <c r="BM30" t="s">
        <v>451</v>
      </c>
      <c r="BN30" t="s">
        <v>451</v>
      </c>
      <c r="BO30" t="s">
        <v>451</v>
      </c>
      <c r="BP30" t="s">
        <v>451</v>
      </c>
      <c r="BQ30" t="s">
        <v>451</v>
      </c>
    </row>
    <row r="31" spans="1:69">
      <c r="A31" s="79" t="s">
        <v>9</v>
      </c>
      <c r="B31" s="55" t="s">
        <v>0</v>
      </c>
      <c r="C31" s="65"/>
      <c r="D31" s="48"/>
      <c r="E31" s="60"/>
      <c r="F31" s="1"/>
      <c r="Q31">
        <v>9</v>
      </c>
      <c r="R31" t="s">
        <v>449</v>
      </c>
      <c r="S31" t="s">
        <v>449</v>
      </c>
      <c r="T31" t="s">
        <v>449</v>
      </c>
      <c r="U31" t="s">
        <v>449</v>
      </c>
      <c r="V31" t="s">
        <v>450</v>
      </c>
      <c r="W31" t="s">
        <v>450</v>
      </c>
      <c r="X31" t="s">
        <v>450</v>
      </c>
      <c r="Y31" t="s">
        <v>450</v>
      </c>
      <c r="Z31" t="s">
        <v>450</v>
      </c>
      <c r="AA31" t="s">
        <v>450</v>
      </c>
      <c r="AB31" t="s">
        <v>450</v>
      </c>
      <c r="AC31" t="s">
        <v>450</v>
      </c>
      <c r="AD31" t="s">
        <v>450</v>
      </c>
      <c r="AE31" t="s">
        <v>450</v>
      </c>
      <c r="AF31" t="s">
        <v>450</v>
      </c>
      <c r="AG31" t="s">
        <v>450</v>
      </c>
      <c r="AH31" t="s">
        <v>450</v>
      </c>
      <c r="AI31" t="s">
        <v>450</v>
      </c>
      <c r="AJ31" t="s">
        <v>450</v>
      </c>
      <c r="AK31" t="s">
        <v>451</v>
      </c>
      <c r="AL31" t="s">
        <v>451</v>
      </c>
      <c r="AM31" t="s">
        <v>451</v>
      </c>
      <c r="AN31" t="s">
        <v>451</v>
      </c>
      <c r="AO31" t="s">
        <v>451</v>
      </c>
      <c r="AP31" t="s">
        <v>451</v>
      </c>
      <c r="AQ31" t="s">
        <v>451</v>
      </c>
      <c r="AR31" t="s">
        <v>451</v>
      </c>
      <c r="AS31" t="s">
        <v>451</v>
      </c>
      <c r="AT31" t="s">
        <v>451</v>
      </c>
      <c r="AU31" t="s">
        <v>451</v>
      </c>
      <c r="AV31" t="s">
        <v>451</v>
      </c>
      <c r="AW31" t="s">
        <v>451</v>
      </c>
      <c r="AX31" t="s">
        <v>451</v>
      </c>
      <c r="AY31" t="s">
        <v>451</v>
      </c>
      <c r="AZ31" t="s">
        <v>451</v>
      </c>
      <c r="BA31" t="s">
        <v>451</v>
      </c>
      <c r="BB31" t="s">
        <v>451</v>
      </c>
      <c r="BC31" t="s">
        <v>451</v>
      </c>
      <c r="BD31" t="s">
        <v>451</v>
      </c>
      <c r="BE31" t="s">
        <v>451</v>
      </c>
      <c r="BF31" t="s">
        <v>451</v>
      </c>
      <c r="BG31" t="s">
        <v>451</v>
      </c>
      <c r="BH31" t="s">
        <v>451</v>
      </c>
      <c r="BI31" t="s">
        <v>451</v>
      </c>
      <c r="BJ31" t="s">
        <v>451</v>
      </c>
      <c r="BK31" t="s">
        <v>451</v>
      </c>
      <c r="BL31" t="s">
        <v>451</v>
      </c>
      <c r="BM31" t="s">
        <v>451</v>
      </c>
      <c r="BN31" t="s">
        <v>451</v>
      </c>
      <c r="BO31" t="s">
        <v>451</v>
      </c>
      <c r="BP31" t="s">
        <v>451</v>
      </c>
      <c r="BQ31" t="s">
        <v>451</v>
      </c>
    </row>
    <row r="32" spans="1:69">
      <c r="A32" s="48"/>
      <c r="B32" s="66" t="s">
        <v>455</v>
      </c>
      <c r="C32" s="56"/>
      <c r="D32" s="48"/>
      <c r="E32" s="85" t="str">
        <f>+IF(C32="","No Data","")</f>
        <v>No Data</v>
      </c>
      <c r="F32" s="1"/>
      <c r="Q32">
        <v>10</v>
      </c>
      <c r="R32" t="s">
        <v>449</v>
      </c>
      <c r="S32" t="s">
        <v>449</v>
      </c>
      <c r="T32" t="s">
        <v>449</v>
      </c>
      <c r="U32" t="s">
        <v>449</v>
      </c>
      <c r="V32" t="s">
        <v>450</v>
      </c>
      <c r="W32" t="s">
        <v>450</v>
      </c>
      <c r="X32" t="s">
        <v>450</v>
      </c>
      <c r="Y32" t="s">
        <v>450</v>
      </c>
      <c r="Z32" t="s">
        <v>450</v>
      </c>
      <c r="AA32" t="s">
        <v>450</v>
      </c>
      <c r="AB32" t="s">
        <v>450</v>
      </c>
      <c r="AC32" t="s">
        <v>450</v>
      </c>
      <c r="AD32" t="s">
        <v>450</v>
      </c>
      <c r="AE32" t="s">
        <v>450</v>
      </c>
      <c r="AF32" t="s">
        <v>450</v>
      </c>
      <c r="AG32" t="s">
        <v>450</v>
      </c>
      <c r="AH32" t="s">
        <v>450</v>
      </c>
      <c r="AI32" t="s">
        <v>450</v>
      </c>
      <c r="AJ32" t="s">
        <v>450</v>
      </c>
      <c r="AK32" t="s">
        <v>451</v>
      </c>
      <c r="AL32" t="s">
        <v>451</v>
      </c>
      <c r="AM32" t="s">
        <v>451</v>
      </c>
      <c r="AN32" t="s">
        <v>451</v>
      </c>
      <c r="AO32" t="s">
        <v>451</v>
      </c>
      <c r="AP32" t="s">
        <v>451</v>
      </c>
      <c r="AQ32" t="s">
        <v>451</v>
      </c>
      <c r="AR32" t="s">
        <v>451</v>
      </c>
      <c r="AS32" t="s">
        <v>451</v>
      </c>
      <c r="AT32" t="s">
        <v>451</v>
      </c>
      <c r="AU32" t="s">
        <v>451</v>
      </c>
      <c r="AV32" t="s">
        <v>451</v>
      </c>
      <c r="AW32" t="s">
        <v>451</v>
      </c>
      <c r="AX32" t="s">
        <v>451</v>
      </c>
      <c r="AY32" t="s">
        <v>451</v>
      </c>
      <c r="AZ32" t="s">
        <v>451</v>
      </c>
      <c r="BA32" t="s">
        <v>451</v>
      </c>
      <c r="BB32" t="s">
        <v>451</v>
      </c>
      <c r="BC32" t="s">
        <v>451</v>
      </c>
      <c r="BD32" t="s">
        <v>451</v>
      </c>
      <c r="BE32" t="s">
        <v>451</v>
      </c>
      <c r="BF32" t="s">
        <v>451</v>
      </c>
      <c r="BG32" t="s">
        <v>451</v>
      </c>
      <c r="BH32" t="s">
        <v>451</v>
      </c>
      <c r="BI32" t="s">
        <v>451</v>
      </c>
      <c r="BJ32" t="s">
        <v>451</v>
      </c>
      <c r="BK32" t="s">
        <v>451</v>
      </c>
      <c r="BL32" t="s">
        <v>451</v>
      </c>
      <c r="BM32" t="s">
        <v>451</v>
      </c>
      <c r="BN32" t="s">
        <v>451</v>
      </c>
      <c r="BO32" t="s">
        <v>451</v>
      </c>
      <c r="BP32" t="s">
        <v>451</v>
      </c>
      <c r="BQ32" t="s">
        <v>451</v>
      </c>
    </row>
    <row r="33" spans="1:69">
      <c r="A33" s="48"/>
      <c r="B33" s="66" t="s">
        <v>1</v>
      </c>
      <c r="C33" s="65"/>
      <c r="D33" s="48"/>
      <c r="E33" s="84" t="str">
        <f>+IF(C32="","No Data","")</f>
        <v>No Data</v>
      </c>
      <c r="F33" s="1"/>
      <c r="Q33">
        <v>11</v>
      </c>
      <c r="R33" t="s">
        <v>449</v>
      </c>
      <c r="S33" t="s">
        <v>449</v>
      </c>
      <c r="T33" t="s">
        <v>449</v>
      </c>
      <c r="U33" t="s">
        <v>449</v>
      </c>
      <c r="V33" t="s">
        <v>450</v>
      </c>
      <c r="W33" t="s">
        <v>450</v>
      </c>
      <c r="X33" t="s">
        <v>450</v>
      </c>
      <c r="Y33" t="s">
        <v>450</v>
      </c>
      <c r="Z33" t="s">
        <v>450</v>
      </c>
      <c r="AA33" t="s">
        <v>450</v>
      </c>
      <c r="AB33" t="s">
        <v>450</v>
      </c>
      <c r="AC33" t="s">
        <v>450</v>
      </c>
      <c r="AD33" t="s">
        <v>450</v>
      </c>
      <c r="AE33" t="s">
        <v>450</v>
      </c>
      <c r="AF33" t="s">
        <v>450</v>
      </c>
      <c r="AG33" t="s">
        <v>450</v>
      </c>
      <c r="AH33" t="s">
        <v>450</v>
      </c>
      <c r="AI33" t="s">
        <v>450</v>
      </c>
      <c r="AJ33" t="s">
        <v>450</v>
      </c>
      <c r="AK33" t="s">
        <v>451</v>
      </c>
      <c r="AL33" t="s">
        <v>451</v>
      </c>
      <c r="AM33" t="s">
        <v>451</v>
      </c>
      <c r="AN33" t="s">
        <v>451</v>
      </c>
      <c r="AO33" t="s">
        <v>451</v>
      </c>
      <c r="AP33" t="s">
        <v>451</v>
      </c>
      <c r="AQ33" t="s">
        <v>451</v>
      </c>
      <c r="AR33" t="s">
        <v>451</v>
      </c>
      <c r="AS33" t="s">
        <v>451</v>
      </c>
      <c r="AT33" t="s">
        <v>451</v>
      </c>
      <c r="AU33" t="s">
        <v>451</v>
      </c>
      <c r="AV33" t="s">
        <v>451</v>
      </c>
      <c r="AW33" t="s">
        <v>451</v>
      </c>
      <c r="AX33" t="s">
        <v>451</v>
      </c>
      <c r="AY33" t="s">
        <v>451</v>
      </c>
      <c r="AZ33" t="s">
        <v>451</v>
      </c>
      <c r="BA33" t="s">
        <v>451</v>
      </c>
      <c r="BB33" t="s">
        <v>451</v>
      </c>
      <c r="BC33" t="s">
        <v>451</v>
      </c>
      <c r="BD33" t="s">
        <v>451</v>
      </c>
      <c r="BE33" t="s">
        <v>451</v>
      </c>
      <c r="BF33" t="s">
        <v>451</v>
      </c>
      <c r="BG33" t="s">
        <v>451</v>
      </c>
      <c r="BH33" t="s">
        <v>451</v>
      </c>
      <c r="BI33" t="s">
        <v>451</v>
      </c>
      <c r="BJ33" t="s">
        <v>451</v>
      </c>
      <c r="BK33" t="s">
        <v>451</v>
      </c>
      <c r="BL33" t="s">
        <v>451</v>
      </c>
      <c r="BM33" t="s">
        <v>451</v>
      </c>
      <c r="BN33" t="s">
        <v>451</v>
      </c>
      <c r="BO33" t="s">
        <v>451</v>
      </c>
      <c r="BP33" t="s">
        <v>451</v>
      </c>
      <c r="BQ33" t="s">
        <v>451</v>
      </c>
    </row>
    <row r="34" spans="1:69">
      <c r="A34" s="47" t="s">
        <v>21</v>
      </c>
      <c r="B34" s="55" t="s">
        <v>96</v>
      </c>
      <c r="C34" s="56"/>
      <c r="D34" s="48" t="s">
        <v>385</v>
      </c>
      <c r="E34" s="85" t="str">
        <f>+IF(C34="","No Data","")</f>
        <v>No Data</v>
      </c>
      <c r="F34" s="1"/>
      <c r="Q34">
        <v>12</v>
      </c>
      <c r="R34" t="s">
        <v>449</v>
      </c>
      <c r="S34" t="s">
        <v>449</v>
      </c>
      <c r="T34" t="s">
        <v>449</v>
      </c>
      <c r="U34" t="s">
        <v>449</v>
      </c>
      <c r="V34" t="s">
        <v>450</v>
      </c>
      <c r="W34" t="s">
        <v>450</v>
      </c>
      <c r="X34" t="s">
        <v>450</v>
      </c>
      <c r="Y34" t="s">
        <v>450</v>
      </c>
      <c r="Z34" t="s">
        <v>450</v>
      </c>
      <c r="AA34" t="s">
        <v>450</v>
      </c>
      <c r="AB34" t="s">
        <v>450</v>
      </c>
      <c r="AC34" t="s">
        <v>450</v>
      </c>
      <c r="AD34" t="s">
        <v>450</v>
      </c>
      <c r="AE34" t="s">
        <v>450</v>
      </c>
      <c r="AF34" t="s">
        <v>450</v>
      </c>
      <c r="AG34" t="s">
        <v>450</v>
      </c>
      <c r="AH34" t="s">
        <v>450</v>
      </c>
      <c r="AI34" t="s">
        <v>450</v>
      </c>
      <c r="AJ34" t="s">
        <v>450</v>
      </c>
      <c r="AK34" t="s">
        <v>451</v>
      </c>
      <c r="AL34" t="s">
        <v>451</v>
      </c>
      <c r="AM34" t="s">
        <v>451</v>
      </c>
      <c r="AN34" t="s">
        <v>451</v>
      </c>
      <c r="AO34" t="s">
        <v>451</v>
      </c>
      <c r="AP34" t="s">
        <v>451</v>
      </c>
      <c r="AQ34" t="s">
        <v>451</v>
      </c>
      <c r="AR34" t="s">
        <v>451</v>
      </c>
      <c r="AS34" t="s">
        <v>451</v>
      </c>
      <c r="AT34" t="s">
        <v>451</v>
      </c>
      <c r="AU34" t="s">
        <v>451</v>
      </c>
      <c r="AV34" t="s">
        <v>451</v>
      </c>
      <c r="AW34" t="s">
        <v>451</v>
      </c>
      <c r="AX34" t="s">
        <v>451</v>
      </c>
      <c r="AY34" t="s">
        <v>451</v>
      </c>
      <c r="AZ34" t="s">
        <v>451</v>
      </c>
      <c r="BA34" t="s">
        <v>451</v>
      </c>
      <c r="BB34" t="s">
        <v>451</v>
      </c>
      <c r="BC34" t="s">
        <v>451</v>
      </c>
      <c r="BD34" t="s">
        <v>451</v>
      </c>
      <c r="BE34" t="s">
        <v>451</v>
      </c>
      <c r="BF34" t="s">
        <v>451</v>
      </c>
      <c r="BG34" t="s">
        <v>451</v>
      </c>
      <c r="BH34" t="s">
        <v>451</v>
      </c>
      <c r="BI34" t="s">
        <v>451</v>
      </c>
      <c r="BJ34" t="s">
        <v>451</v>
      </c>
      <c r="BK34" t="s">
        <v>451</v>
      </c>
      <c r="BL34" t="s">
        <v>451</v>
      </c>
      <c r="BM34" t="s">
        <v>451</v>
      </c>
      <c r="BN34" t="s">
        <v>451</v>
      </c>
      <c r="BO34" t="s">
        <v>451</v>
      </c>
      <c r="BP34" t="s">
        <v>451</v>
      </c>
      <c r="BQ34" t="s">
        <v>451</v>
      </c>
    </row>
    <row r="35" spans="1:69" ht="17">
      <c r="A35" s="47" t="s">
        <v>15</v>
      </c>
      <c r="B35" s="55" t="s">
        <v>5</v>
      </c>
      <c r="C35" s="56"/>
      <c r="D35" s="48"/>
      <c r="E35" s="85" t="str">
        <f>+IF(C35="","No Data","")</f>
        <v>No Data</v>
      </c>
      <c r="F35" s="1"/>
      <c r="Q35">
        <v>13</v>
      </c>
      <c r="R35" t="s">
        <v>449</v>
      </c>
      <c r="S35" t="s">
        <v>449</v>
      </c>
      <c r="T35" t="s">
        <v>449</v>
      </c>
      <c r="U35" t="s">
        <v>449</v>
      </c>
      <c r="V35" t="s">
        <v>449</v>
      </c>
      <c r="W35" t="s">
        <v>449</v>
      </c>
      <c r="X35" t="s">
        <v>449</v>
      </c>
      <c r="Y35" t="s">
        <v>449</v>
      </c>
      <c r="Z35" t="s">
        <v>449</v>
      </c>
      <c r="AA35" t="s">
        <v>449</v>
      </c>
      <c r="AB35" t="s">
        <v>449</v>
      </c>
      <c r="AC35" t="s">
        <v>449</v>
      </c>
      <c r="AD35" t="s">
        <v>450</v>
      </c>
      <c r="AE35" t="s">
        <v>450</v>
      </c>
      <c r="AF35" t="s">
        <v>450</v>
      </c>
      <c r="AG35" t="s">
        <v>450</v>
      </c>
      <c r="AH35" t="s">
        <v>450</v>
      </c>
      <c r="AI35" t="s">
        <v>450</v>
      </c>
      <c r="AJ35" t="s">
        <v>450</v>
      </c>
      <c r="AK35" t="s">
        <v>450</v>
      </c>
      <c r="AL35" t="s">
        <v>450</v>
      </c>
      <c r="AM35" t="s">
        <v>450</v>
      </c>
      <c r="AN35" t="s">
        <v>450</v>
      </c>
      <c r="AO35" t="s">
        <v>450</v>
      </c>
      <c r="AP35" t="s">
        <v>450</v>
      </c>
      <c r="AQ35" t="s">
        <v>450</v>
      </c>
      <c r="AR35" t="s">
        <v>450</v>
      </c>
      <c r="AS35" t="s">
        <v>450</v>
      </c>
      <c r="AT35" t="s">
        <v>450</v>
      </c>
      <c r="AU35" t="s">
        <v>451</v>
      </c>
      <c r="AV35" t="s">
        <v>451</v>
      </c>
      <c r="AW35" t="s">
        <v>451</v>
      </c>
      <c r="AX35" t="s">
        <v>451</v>
      </c>
      <c r="AY35" t="s">
        <v>451</v>
      </c>
      <c r="AZ35" t="s">
        <v>451</v>
      </c>
      <c r="BA35" t="s">
        <v>451</v>
      </c>
      <c r="BB35" t="s">
        <v>451</v>
      </c>
      <c r="BC35" t="s">
        <v>451</v>
      </c>
      <c r="BD35" t="s">
        <v>451</v>
      </c>
      <c r="BE35" t="s">
        <v>451</v>
      </c>
      <c r="BF35" t="s">
        <v>451</v>
      </c>
      <c r="BG35" t="s">
        <v>451</v>
      </c>
      <c r="BH35" t="s">
        <v>451</v>
      </c>
      <c r="BI35" t="s">
        <v>451</v>
      </c>
      <c r="BJ35" t="s">
        <v>451</v>
      </c>
      <c r="BK35" t="s">
        <v>451</v>
      </c>
      <c r="BL35" t="s">
        <v>451</v>
      </c>
      <c r="BM35" t="s">
        <v>451</v>
      </c>
      <c r="BN35" t="s">
        <v>451</v>
      </c>
      <c r="BO35" t="s">
        <v>451</v>
      </c>
      <c r="BP35" t="s">
        <v>451</v>
      </c>
      <c r="BQ35" t="s">
        <v>451</v>
      </c>
    </row>
    <row r="36" spans="1:69" ht="17">
      <c r="A36" s="48"/>
      <c r="B36" s="67" t="s">
        <v>6</v>
      </c>
      <c r="C36" s="68" t="str">
        <f>IF(C22="","",+AA3)</f>
        <v/>
      </c>
      <c r="D36" s="48"/>
      <c r="E36" s="60"/>
      <c r="F36" s="1"/>
      <c r="Q36">
        <v>14</v>
      </c>
      <c r="R36" t="s">
        <v>449</v>
      </c>
      <c r="S36" t="s">
        <v>449</v>
      </c>
      <c r="T36" t="s">
        <v>449</v>
      </c>
      <c r="U36" t="s">
        <v>449</v>
      </c>
      <c r="V36" t="s">
        <v>449</v>
      </c>
      <c r="W36" t="s">
        <v>449</v>
      </c>
      <c r="X36" t="s">
        <v>449</v>
      </c>
      <c r="Y36" t="s">
        <v>449</v>
      </c>
      <c r="Z36" t="s">
        <v>449</v>
      </c>
      <c r="AA36" t="s">
        <v>449</v>
      </c>
      <c r="AB36" t="s">
        <v>449</v>
      </c>
      <c r="AC36" t="s">
        <v>449</v>
      </c>
      <c r="AD36" t="s">
        <v>450</v>
      </c>
      <c r="AE36" t="s">
        <v>450</v>
      </c>
      <c r="AF36" t="s">
        <v>450</v>
      </c>
      <c r="AG36" t="s">
        <v>450</v>
      </c>
      <c r="AH36" t="s">
        <v>450</v>
      </c>
      <c r="AI36" t="s">
        <v>450</v>
      </c>
      <c r="AJ36" t="s">
        <v>450</v>
      </c>
      <c r="AK36" t="s">
        <v>450</v>
      </c>
      <c r="AL36" t="s">
        <v>450</v>
      </c>
      <c r="AM36" t="s">
        <v>450</v>
      </c>
      <c r="AN36" t="s">
        <v>450</v>
      </c>
      <c r="AO36" t="s">
        <v>450</v>
      </c>
      <c r="AP36" t="s">
        <v>450</v>
      </c>
      <c r="AQ36" t="s">
        <v>450</v>
      </c>
      <c r="AR36" t="s">
        <v>450</v>
      </c>
      <c r="AS36" t="s">
        <v>450</v>
      </c>
      <c r="AT36" t="s">
        <v>450</v>
      </c>
      <c r="AU36" t="s">
        <v>451</v>
      </c>
      <c r="AV36" t="s">
        <v>451</v>
      </c>
      <c r="AW36" t="s">
        <v>451</v>
      </c>
      <c r="AX36" t="s">
        <v>451</v>
      </c>
      <c r="AY36" t="s">
        <v>451</v>
      </c>
      <c r="AZ36" t="s">
        <v>451</v>
      </c>
      <c r="BA36" t="s">
        <v>451</v>
      </c>
      <c r="BB36" t="s">
        <v>451</v>
      </c>
      <c r="BC36" t="s">
        <v>451</v>
      </c>
      <c r="BD36" t="s">
        <v>451</v>
      </c>
      <c r="BE36" t="s">
        <v>451</v>
      </c>
      <c r="BF36" t="s">
        <v>451</v>
      </c>
      <c r="BG36" t="s">
        <v>451</v>
      </c>
      <c r="BH36" t="s">
        <v>451</v>
      </c>
      <c r="BI36" t="s">
        <v>451</v>
      </c>
      <c r="BJ36" t="s">
        <v>451</v>
      </c>
      <c r="BK36" t="s">
        <v>451</v>
      </c>
      <c r="BL36" t="s">
        <v>451</v>
      </c>
      <c r="BM36" t="s">
        <v>451</v>
      </c>
      <c r="BN36" t="s">
        <v>451</v>
      </c>
      <c r="BO36" t="s">
        <v>451</v>
      </c>
      <c r="BP36" t="s">
        <v>451</v>
      </c>
      <c r="BQ36" t="s">
        <v>451</v>
      </c>
    </row>
    <row r="37" spans="1:69" ht="15">
      <c r="A37" s="48"/>
      <c r="B37" s="22" t="s">
        <v>16</v>
      </c>
      <c r="C37" s="69"/>
      <c r="D37" s="69"/>
      <c r="E37" s="63" t="s">
        <v>456</v>
      </c>
      <c r="F37" s="1"/>
      <c r="Q37">
        <v>15</v>
      </c>
      <c r="R37" t="s">
        <v>449</v>
      </c>
      <c r="S37" t="s">
        <v>449</v>
      </c>
      <c r="T37" t="s">
        <v>449</v>
      </c>
      <c r="U37" t="s">
        <v>449</v>
      </c>
      <c r="V37" t="s">
        <v>449</v>
      </c>
      <c r="W37" t="s">
        <v>449</v>
      </c>
      <c r="X37" t="s">
        <v>449</v>
      </c>
      <c r="Y37" t="s">
        <v>449</v>
      </c>
      <c r="Z37" t="s">
        <v>449</v>
      </c>
      <c r="AA37" t="s">
        <v>449</v>
      </c>
      <c r="AB37" t="s">
        <v>449</v>
      </c>
      <c r="AC37" t="s">
        <v>449</v>
      </c>
      <c r="AD37" t="s">
        <v>450</v>
      </c>
      <c r="AE37" t="s">
        <v>450</v>
      </c>
      <c r="AF37" t="s">
        <v>450</v>
      </c>
      <c r="AG37" t="s">
        <v>450</v>
      </c>
      <c r="AH37" t="s">
        <v>450</v>
      </c>
      <c r="AI37" t="s">
        <v>450</v>
      </c>
      <c r="AJ37" t="s">
        <v>450</v>
      </c>
      <c r="AK37" t="s">
        <v>450</v>
      </c>
      <c r="AL37" t="s">
        <v>450</v>
      </c>
      <c r="AM37" t="s">
        <v>450</v>
      </c>
      <c r="AN37" t="s">
        <v>450</v>
      </c>
      <c r="AO37" t="s">
        <v>450</v>
      </c>
      <c r="AP37" t="s">
        <v>450</v>
      </c>
      <c r="AQ37" t="s">
        <v>450</v>
      </c>
      <c r="AR37" t="s">
        <v>450</v>
      </c>
      <c r="AS37" t="s">
        <v>450</v>
      </c>
      <c r="AT37" t="s">
        <v>450</v>
      </c>
      <c r="AU37" t="s">
        <v>451</v>
      </c>
      <c r="AV37" t="s">
        <v>451</v>
      </c>
      <c r="AW37" t="s">
        <v>451</v>
      </c>
      <c r="AX37" t="s">
        <v>451</v>
      </c>
      <c r="AY37" t="s">
        <v>451</v>
      </c>
      <c r="AZ37" t="s">
        <v>451</v>
      </c>
      <c r="BA37" t="s">
        <v>451</v>
      </c>
      <c r="BB37" t="s">
        <v>451</v>
      </c>
      <c r="BC37" t="s">
        <v>451</v>
      </c>
      <c r="BD37" t="s">
        <v>451</v>
      </c>
      <c r="BE37" t="s">
        <v>451</v>
      </c>
      <c r="BF37" t="s">
        <v>451</v>
      </c>
      <c r="BG37" t="s">
        <v>451</v>
      </c>
      <c r="BH37" t="s">
        <v>451</v>
      </c>
      <c r="BI37" t="s">
        <v>451</v>
      </c>
      <c r="BJ37" t="s">
        <v>451</v>
      </c>
      <c r="BK37" t="s">
        <v>451</v>
      </c>
      <c r="BL37" t="s">
        <v>451</v>
      </c>
      <c r="BM37" t="s">
        <v>451</v>
      </c>
      <c r="BN37" t="s">
        <v>451</v>
      </c>
      <c r="BO37" t="s">
        <v>451</v>
      </c>
      <c r="BP37" t="s">
        <v>451</v>
      </c>
      <c r="BQ37" t="s">
        <v>451</v>
      </c>
    </row>
    <row r="38" spans="1:69" ht="17">
      <c r="A38" s="81" t="s">
        <v>13</v>
      </c>
      <c r="B38" s="55" t="s">
        <v>7</v>
      </c>
      <c r="C38" s="56"/>
      <c r="D38" s="48" t="s">
        <v>385</v>
      </c>
      <c r="E38" s="94" t="str">
        <f>+IF(C38="","No Data",C38*0.224)</f>
        <v>No Data</v>
      </c>
      <c r="F38" s="1"/>
      <c r="Q38">
        <v>16</v>
      </c>
      <c r="R38" t="s">
        <v>449</v>
      </c>
      <c r="S38" t="s">
        <v>449</v>
      </c>
      <c r="T38" t="s">
        <v>449</v>
      </c>
      <c r="U38" t="s">
        <v>449</v>
      </c>
      <c r="V38" t="s">
        <v>449</v>
      </c>
      <c r="W38" t="s">
        <v>449</v>
      </c>
      <c r="X38" t="s">
        <v>449</v>
      </c>
      <c r="Y38" t="s">
        <v>449</v>
      </c>
      <c r="Z38" t="s">
        <v>449</v>
      </c>
      <c r="AA38" t="s">
        <v>449</v>
      </c>
      <c r="AB38" t="s">
        <v>449</v>
      </c>
      <c r="AC38" t="s">
        <v>449</v>
      </c>
      <c r="AD38" t="s">
        <v>450</v>
      </c>
      <c r="AE38" t="s">
        <v>450</v>
      </c>
      <c r="AF38" t="s">
        <v>450</v>
      </c>
      <c r="AG38" t="s">
        <v>450</v>
      </c>
      <c r="AH38" t="s">
        <v>450</v>
      </c>
      <c r="AI38" t="s">
        <v>450</v>
      </c>
      <c r="AJ38" t="s">
        <v>450</v>
      </c>
      <c r="AK38" t="s">
        <v>450</v>
      </c>
      <c r="AL38" t="s">
        <v>450</v>
      </c>
      <c r="AM38" t="s">
        <v>450</v>
      </c>
      <c r="AN38" t="s">
        <v>450</v>
      </c>
      <c r="AO38" t="s">
        <v>450</v>
      </c>
      <c r="AP38" t="s">
        <v>450</v>
      </c>
      <c r="AQ38" t="s">
        <v>450</v>
      </c>
      <c r="AR38" t="s">
        <v>450</v>
      </c>
      <c r="AS38" t="s">
        <v>450</v>
      </c>
      <c r="AT38" t="s">
        <v>450</v>
      </c>
      <c r="AU38" t="s">
        <v>451</v>
      </c>
      <c r="AV38" t="s">
        <v>451</v>
      </c>
      <c r="AW38" t="s">
        <v>451</v>
      </c>
      <c r="AX38" t="s">
        <v>451</v>
      </c>
      <c r="AY38" t="s">
        <v>451</v>
      </c>
      <c r="AZ38" t="s">
        <v>451</v>
      </c>
      <c r="BA38" t="s">
        <v>451</v>
      </c>
      <c r="BB38" t="s">
        <v>451</v>
      </c>
      <c r="BC38" t="s">
        <v>451</v>
      </c>
      <c r="BD38" t="s">
        <v>451</v>
      </c>
      <c r="BE38" t="s">
        <v>451</v>
      </c>
      <c r="BF38" t="s">
        <v>451</v>
      </c>
      <c r="BG38" t="s">
        <v>451</v>
      </c>
      <c r="BH38" t="s">
        <v>451</v>
      </c>
      <c r="BI38" t="s">
        <v>451</v>
      </c>
      <c r="BJ38" t="s">
        <v>451</v>
      </c>
      <c r="BK38" t="s">
        <v>451</v>
      </c>
      <c r="BL38" t="s">
        <v>451</v>
      </c>
      <c r="BM38" t="s">
        <v>451</v>
      </c>
      <c r="BN38" t="s">
        <v>451</v>
      </c>
      <c r="BO38" t="s">
        <v>451</v>
      </c>
      <c r="BP38" t="s">
        <v>451</v>
      </c>
      <c r="BQ38" t="s">
        <v>451</v>
      </c>
    </row>
    <row r="39" spans="1:69" ht="17">
      <c r="A39" s="47" t="s">
        <v>11</v>
      </c>
      <c r="B39" s="55" t="s">
        <v>8</v>
      </c>
      <c r="C39" s="56"/>
      <c r="D39" s="48" t="s">
        <v>385</v>
      </c>
      <c r="E39" s="94" t="str">
        <f>+IF(C39="","No Data",C39*0.224)</f>
        <v>No Data</v>
      </c>
      <c r="F39" s="1"/>
      <c r="Q39">
        <v>17</v>
      </c>
      <c r="R39" t="s">
        <v>449</v>
      </c>
      <c r="S39" t="s">
        <v>449</v>
      </c>
      <c r="T39" t="s">
        <v>449</v>
      </c>
      <c r="U39" t="s">
        <v>449</v>
      </c>
      <c r="V39" t="s">
        <v>449</v>
      </c>
      <c r="W39" t="s">
        <v>449</v>
      </c>
      <c r="X39" t="s">
        <v>449</v>
      </c>
      <c r="Y39" t="s">
        <v>449</v>
      </c>
      <c r="Z39" t="s">
        <v>449</v>
      </c>
      <c r="AA39" t="s">
        <v>449</v>
      </c>
      <c r="AB39" t="s">
        <v>449</v>
      </c>
      <c r="AC39" t="s">
        <v>449</v>
      </c>
      <c r="AD39" t="s">
        <v>450</v>
      </c>
      <c r="AE39" t="s">
        <v>450</v>
      </c>
      <c r="AF39" t="s">
        <v>450</v>
      </c>
      <c r="AG39" t="s">
        <v>450</v>
      </c>
      <c r="AH39" t="s">
        <v>450</v>
      </c>
      <c r="AI39" t="s">
        <v>450</v>
      </c>
      <c r="AJ39" t="s">
        <v>450</v>
      </c>
      <c r="AK39" t="s">
        <v>450</v>
      </c>
      <c r="AL39" t="s">
        <v>450</v>
      </c>
      <c r="AM39" t="s">
        <v>450</v>
      </c>
      <c r="AN39" t="s">
        <v>450</v>
      </c>
      <c r="AO39" t="s">
        <v>450</v>
      </c>
      <c r="AP39" t="s">
        <v>450</v>
      </c>
      <c r="AQ39" t="s">
        <v>450</v>
      </c>
      <c r="AR39" t="s">
        <v>450</v>
      </c>
      <c r="AS39" t="s">
        <v>450</v>
      </c>
      <c r="AT39" t="s">
        <v>450</v>
      </c>
      <c r="AU39" t="s">
        <v>451</v>
      </c>
      <c r="AV39" t="s">
        <v>451</v>
      </c>
      <c r="AW39" t="s">
        <v>451</v>
      </c>
      <c r="AX39" t="s">
        <v>451</v>
      </c>
      <c r="AY39" t="s">
        <v>451</v>
      </c>
      <c r="AZ39" t="s">
        <v>451</v>
      </c>
      <c r="BA39" t="s">
        <v>451</v>
      </c>
      <c r="BB39" t="s">
        <v>451</v>
      </c>
      <c r="BC39" t="s">
        <v>451</v>
      </c>
      <c r="BD39" t="s">
        <v>451</v>
      </c>
      <c r="BE39" t="s">
        <v>451</v>
      </c>
      <c r="BF39" t="s">
        <v>451</v>
      </c>
      <c r="BG39" t="s">
        <v>451</v>
      </c>
      <c r="BH39" t="s">
        <v>451</v>
      </c>
      <c r="BI39" t="s">
        <v>451</v>
      </c>
      <c r="BJ39" t="s">
        <v>451</v>
      </c>
      <c r="BK39" t="s">
        <v>451</v>
      </c>
      <c r="BL39" t="s">
        <v>451</v>
      </c>
      <c r="BM39" t="s">
        <v>451</v>
      </c>
      <c r="BN39" t="s">
        <v>451</v>
      </c>
      <c r="BO39" t="s">
        <v>451</v>
      </c>
      <c r="BP39" t="s">
        <v>451</v>
      </c>
      <c r="BQ39" t="s">
        <v>451</v>
      </c>
    </row>
    <row r="40" spans="1:69">
      <c r="A40" s="47" t="s">
        <v>10</v>
      </c>
      <c r="B40" s="55" t="s">
        <v>2</v>
      </c>
      <c r="C40" s="56"/>
      <c r="D40" s="48" t="s">
        <v>385</v>
      </c>
      <c r="E40" s="94" t="str">
        <f>+IF(C40="","No Data",C40*0.224)</f>
        <v>No Data</v>
      </c>
      <c r="F40" s="1"/>
      <c r="Q40">
        <v>18</v>
      </c>
      <c r="R40" t="s">
        <v>449</v>
      </c>
      <c r="S40" t="s">
        <v>449</v>
      </c>
      <c r="T40" t="s">
        <v>449</v>
      </c>
      <c r="U40" t="s">
        <v>449</v>
      </c>
      <c r="V40" t="s">
        <v>449</v>
      </c>
      <c r="W40" t="s">
        <v>449</v>
      </c>
      <c r="X40" t="s">
        <v>449</v>
      </c>
      <c r="Y40" t="s">
        <v>449</v>
      </c>
      <c r="Z40" t="s">
        <v>449</v>
      </c>
      <c r="AA40" t="s">
        <v>449</v>
      </c>
      <c r="AB40" t="s">
        <v>449</v>
      </c>
      <c r="AC40" t="s">
        <v>449</v>
      </c>
      <c r="AD40" t="s">
        <v>450</v>
      </c>
      <c r="AE40" t="s">
        <v>450</v>
      </c>
      <c r="AF40" t="s">
        <v>450</v>
      </c>
      <c r="AG40" t="s">
        <v>450</v>
      </c>
      <c r="AH40" t="s">
        <v>450</v>
      </c>
      <c r="AI40" t="s">
        <v>450</v>
      </c>
      <c r="AJ40" t="s">
        <v>450</v>
      </c>
      <c r="AK40" t="s">
        <v>450</v>
      </c>
      <c r="AL40" t="s">
        <v>450</v>
      </c>
      <c r="AM40" t="s">
        <v>450</v>
      </c>
      <c r="AN40" t="s">
        <v>450</v>
      </c>
      <c r="AO40" t="s">
        <v>450</v>
      </c>
      <c r="AP40" t="s">
        <v>450</v>
      </c>
      <c r="AQ40" t="s">
        <v>450</v>
      </c>
      <c r="AR40" t="s">
        <v>450</v>
      </c>
      <c r="AS40" t="s">
        <v>450</v>
      </c>
      <c r="AT40" t="s">
        <v>450</v>
      </c>
      <c r="AU40" t="s">
        <v>451</v>
      </c>
      <c r="AV40" t="s">
        <v>451</v>
      </c>
      <c r="AW40" t="s">
        <v>451</v>
      </c>
      <c r="AX40" t="s">
        <v>451</v>
      </c>
      <c r="AY40" t="s">
        <v>451</v>
      </c>
      <c r="AZ40" t="s">
        <v>451</v>
      </c>
      <c r="BA40" t="s">
        <v>451</v>
      </c>
      <c r="BB40" t="s">
        <v>451</v>
      </c>
      <c r="BC40" t="s">
        <v>451</v>
      </c>
      <c r="BD40" t="s">
        <v>451</v>
      </c>
      <c r="BE40" t="s">
        <v>451</v>
      </c>
      <c r="BF40" t="s">
        <v>451</v>
      </c>
      <c r="BG40" t="s">
        <v>451</v>
      </c>
      <c r="BH40" t="s">
        <v>451</v>
      </c>
      <c r="BI40" t="s">
        <v>451</v>
      </c>
      <c r="BJ40" t="s">
        <v>451</v>
      </c>
      <c r="BK40" t="s">
        <v>451</v>
      </c>
      <c r="BL40" t="s">
        <v>451</v>
      </c>
      <c r="BM40" t="s">
        <v>451</v>
      </c>
      <c r="BN40" t="s">
        <v>451</v>
      </c>
      <c r="BO40" t="s">
        <v>451</v>
      </c>
      <c r="BP40" t="s">
        <v>451</v>
      </c>
      <c r="BQ40" t="s">
        <v>451</v>
      </c>
    </row>
    <row r="41" spans="1:69">
      <c r="A41" s="48"/>
      <c r="B41" s="55" t="s">
        <v>96</v>
      </c>
      <c r="C41" s="70" t="str">
        <f>IF(C34="","",C34)</f>
        <v/>
      </c>
      <c r="D41" s="48" t="s">
        <v>385</v>
      </c>
      <c r="E41" s="94" t="str">
        <f>+IF(C34="","No Data",C34*0.224)</f>
        <v>No Data</v>
      </c>
      <c r="F41" s="1"/>
      <c r="Q41">
        <v>19</v>
      </c>
      <c r="R41" t="s">
        <v>449</v>
      </c>
      <c r="S41" t="s">
        <v>449</v>
      </c>
      <c r="T41" t="s">
        <v>449</v>
      </c>
      <c r="U41" t="s">
        <v>449</v>
      </c>
      <c r="V41" t="s">
        <v>449</v>
      </c>
      <c r="W41" t="s">
        <v>449</v>
      </c>
      <c r="X41" t="s">
        <v>449</v>
      </c>
      <c r="Y41" t="s">
        <v>449</v>
      </c>
      <c r="Z41" t="s">
        <v>449</v>
      </c>
      <c r="AA41" t="s">
        <v>449</v>
      </c>
      <c r="AB41" t="s">
        <v>449</v>
      </c>
      <c r="AC41" t="s">
        <v>449</v>
      </c>
      <c r="AD41" t="s">
        <v>450</v>
      </c>
      <c r="AE41" t="s">
        <v>450</v>
      </c>
      <c r="AF41" t="s">
        <v>450</v>
      </c>
      <c r="AG41" t="s">
        <v>450</v>
      </c>
      <c r="AH41" t="s">
        <v>450</v>
      </c>
      <c r="AI41" t="s">
        <v>450</v>
      </c>
      <c r="AJ41" t="s">
        <v>450</v>
      </c>
      <c r="AK41" t="s">
        <v>450</v>
      </c>
      <c r="AL41" t="s">
        <v>450</v>
      </c>
      <c r="AM41" t="s">
        <v>450</v>
      </c>
      <c r="AN41" t="s">
        <v>450</v>
      </c>
      <c r="AO41" t="s">
        <v>450</v>
      </c>
      <c r="AP41" t="s">
        <v>450</v>
      </c>
      <c r="AQ41" t="s">
        <v>450</v>
      </c>
      <c r="AR41" t="s">
        <v>450</v>
      </c>
      <c r="AS41" t="s">
        <v>450</v>
      </c>
      <c r="AT41" t="s">
        <v>450</v>
      </c>
      <c r="AU41" t="s">
        <v>451</v>
      </c>
      <c r="AV41" t="s">
        <v>451</v>
      </c>
      <c r="AW41" t="s">
        <v>451</v>
      </c>
      <c r="AX41" t="s">
        <v>451</v>
      </c>
      <c r="AY41" t="s">
        <v>451</v>
      </c>
      <c r="AZ41" t="s">
        <v>451</v>
      </c>
      <c r="BA41" t="s">
        <v>451</v>
      </c>
      <c r="BB41" t="s">
        <v>451</v>
      </c>
      <c r="BC41" t="s">
        <v>451</v>
      </c>
      <c r="BD41" t="s">
        <v>451</v>
      </c>
      <c r="BE41" t="s">
        <v>451</v>
      </c>
      <c r="BF41" t="s">
        <v>451</v>
      </c>
      <c r="BG41" t="s">
        <v>451</v>
      </c>
      <c r="BH41" t="s">
        <v>451</v>
      </c>
      <c r="BI41" t="s">
        <v>451</v>
      </c>
      <c r="BJ41" t="s">
        <v>451</v>
      </c>
      <c r="BK41" t="s">
        <v>451</v>
      </c>
      <c r="BL41" t="s">
        <v>451</v>
      </c>
      <c r="BM41" t="s">
        <v>451</v>
      </c>
      <c r="BN41" t="s">
        <v>451</v>
      </c>
      <c r="BO41" t="s">
        <v>451</v>
      </c>
      <c r="BP41" t="s">
        <v>451</v>
      </c>
      <c r="BQ41" t="s">
        <v>451</v>
      </c>
    </row>
    <row r="42" spans="1:69">
      <c r="A42" s="48"/>
      <c r="B42" s="48"/>
      <c r="C42" s="48"/>
      <c r="D42" s="48"/>
      <c r="E42" s="48"/>
      <c r="F42" s="1"/>
      <c r="Q42">
        <v>20</v>
      </c>
      <c r="R42" t="s">
        <v>449</v>
      </c>
      <c r="S42" t="s">
        <v>449</v>
      </c>
      <c r="T42" t="s">
        <v>449</v>
      </c>
      <c r="U42" t="s">
        <v>449</v>
      </c>
      <c r="V42" t="s">
        <v>449</v>
      </c>
      <c r="W42" t="s">
        <v>449</v>
      </c>
      <c r="X42" t="s">
        <v>449</v>
      </c>
      <c r="Y42" t="s">
        <v>449</v>
      </c>
      <c r="Z42" t="s">
        <v>449</v>
      </c>
      <c r="AA42" t="s">
        <v>449</v>
      </c>
      <c r="AB42" t="s">
        <v>449</v>
      </c>
      <c r="AC42" t="s">
        <v>449</v>
      </c>
      <c r="AD42" t="s">
        <v>450</v>
      </c>
      <c r="AE42" t="s">
        <v>450</v>
      </c>
      <c r="AF42" t="s">
        <v>450</v>
      </c>
      <c r="AG42" t="s">
        <v>450</v>
      </c>
      <c r="AH42" t="s">
        <v>450</v>
      </c>
      <c r="AI42" t="s">
        <v>450</v>
      </c>
      <c r="AJ42" t="s">
        <v>450</v>
      </c>
      <c r="AK42" t="s">
        <v>450</v>
      </c>
      <c r="AL42" t="s">
        <v>450</v>
      </c>
      <c r="AM42" t="s">
        <v>450</v>
      </c>
      <c r="AN42" t="s">
        <v>450</v>
      </c>
      <c r="AO42" t="s">
        <v>450</v>
      </c>
      <c r="AP42" t="s">
        <v>450</v>
      </c>
      <c r="AQ42" t="s">
        <v>450</v>
      </c>
      <c r="AR42" t="s">
        <v>450</v>
      </c>
      <c r="AS42" t="s">
        <v>450</v>
      </c>
      <c r="AT42" t="s">
        <v>450</v>
      </c>
      <c r="AU42" t="s">
        <v>451</v>
      </c>
      <c r="AV42" t="s">
        <v>451</v>
      </c>
      <c r="AW42" t="s">
        <v>451</v>
      </c>
      <c r="AX42" t="s">
        <v>451</v>
      </c>
      <c r="AY42" t="s">
        <v>451</v>
      </c>
      <c r="AZ42" t="s">
        <v>451</v>
      </c>
      <c r="BA42" t="s">
        <v>451</v>
      </c>
      <c r="BB42" t="s">
        <v>451</v>
      </c>
      <c r="BC42" t="s">
        <v>451</v>
      </c>
      <c r="BD42" t="s">
        <v>451</v>
      </c>
      <c r="BE42" t="s">
        <v>451</v>
      </c>
      <c r="BF42" t="s">
        <v>451</v>
      </c>
      <c r="BG42" t="s">
        <v>451</v>
      </c>
      <c r="BH42" t="s">
        <v>451</v>
      </c>
      <c r="BI42" t="s">
        <v>451</v>
      </c>
      <c r="BJ42" t="s">
        <v>451</v>
      </c>
      <c r="BK42" t="s">
        <v>451</v>
      </c>
      <c r="BL42" t="s">
        <v>451</v>
      </c>
      <c r="BM42" t="s">
        <v>451</v>
      </c>
      <c r="BN42" t="s">
        <v>451</v>
      </c>
      <c r="BO42" t="s">
        <v>451</v>
      </c>
      <c r="BP42" t="s">
        <v>451</v>
      </c>
      <c r="BQ42" t="s">
        <v>451</v>
      </c>
    </row>
    <row r="43" spans="1:69">
      <c r="A43" s="48"/>
      <c r="B43" s="96" t="s">
        <v>23</v>
      </c>
      <c r="C43" s="72"/>
      <c r="D43" s="72"/>
      <c r="E43" s="72"/>
      <c r="F43" s="24"/>
      <c r="Q43">
        <v>21</v>
      </c>
      <c r="R43" t="s">
        <v>449</v>
      </c>
      <c r="S43" t="s">
        <v>449</v>
      </c>
      <c r="T43" t="s">
        <v>449</v>
      </c>
      <c r="U43" t="s">
        <v>449</v>
      </c>
      <c r="V43" t="s">
        <v>449</v>
      </c>
      <c r="W43" t="s">
        <v>449</v>
      </c>
      <c r="X43" t="s">
        <v>449</v>
      </c>
      <c r="Y43" t="s">
        <v>449</v>
      </c>
      <c r="Z43" t="s">
        <v>449</v>
      </c>
      <c r="AA43" t="s">
        <v>449</v>
      </c>
      <c r="AB43" t="s">
        <v>449</v>
      </c>
      <c r="AC43" t="s">
        <v>449</v>
      </c>
      <c r="AD43" t="s">
        <v>449</v>
      </c>
      <c r="AE43" t="s">
        <v>449</v>
      </c>
      <c r="AF43" t="s">
        <v>449</v>
      </c>
      <c r="AG43" t="s">
        <v>449</v>
      </c>
      <c r="AH43" t="s">
        <v>449</v>
      </c>
      <c r="AI43" t="s">
        <v>449</v>
      </c>
      <c r="AJ43" t="s">
        <v>449</v>
      </c>
      <c r="AK43" t="s">
        <v>449</v>
      </c>
      <c r="AL43" t="s">
        <v>449</v>
      </c>
      <c r="AM43" t="s">
        <v>449</v>
      </c>
      <c r="AN43" t="s">
        <v>449</v>
      </c>
      <c r="AO43" t="s">
        <v>449</v>
      </c>
      <c r="AP43" t="s">
        <v>449</v>
      </c>
      <c r="AQ43" t="s">
        <v>449</v>
      </c>
      <c r="AR43" t="s">
        <v>449</v>
      </c>
      <c r="AS43" t="s">
        <v>449</v>
      </c>
      <c r="AT43" t="s">
        <v>450</v>
      </c>
      <c r="AU43" t="s">
        <v>450</v>
      </c>
      <c r="AV43" t="s">
        <v>450</v>
      </c>
      <c r="AW43" t="s">
        <v>450</v>
      </c>
      <c r="AX43" t="s">
        <v>450</v>
      </c>
      <c r="AY43" t="s">
        <v>450</v>
      </c>
      <c r="AZ43" t="s">
        <v>450</v>
      </c>
      <c r="BA43" t="s">
        <v>450</v>
      </c>
      <c r="BB43" t="s">
        <v>450</v>
      </c>
      <c r="BC43" t="s">
        <v>450</v>
      </c>
      <c r="BD43" t="s">
        <v>450</v>
      </c>
      <c r="BE43" t="s">
        <v>450</v>
      </c>
      <c r="BF43" t="s">
        <v>450</v>
      </c>
      <c r="BG43" t="s">
        <v>450</v>
      </c>
      <c r="BH43" t="s">
        <v>450</v>
      </c>
      <c r="BI43" t="s">
        <v>450</v>
      </c>
      <c r="BJ43" t="s">
        <v>450</v>
      </c>
      <c r="BK43" t="s">
        <v>450</v>
      </c>
      <c r="BL43" t="s">
        <v>450</v>
      </c>
      <c r="BM43" t="s">
        <v>450</v>
      </c>
      <c r="BN43" t="s">
        <v>450</v>
      </c>
      <c r="BO43" t="s">
        <v>450</v>
      </c>
      <c r="BP43" t="s">
        <v>451</v>
      </c>
      <c r="BQ43" t="s">
        <v>451</v>
      </c>
    </row>
    <row r="44" spans="1:69">
      <c r="A44" s="48"/>
      <c r="B44" s="73" t="s">
        <v>457</v>
      </c>
      <c r="C44" s="55" t="s">
        <v>458</v>
      </c>
      <c r="D44" s="74" t="s">
        <v>459</v>
      </c>
      <c r="E44" s="74"/>
      <c r="F44" s="1"/>
      <c r="Q44">
        <v>22</v>
      </c>
      <c r="R44" t="s">
        <v>449</v>
      </c>
      <c r="S44" t="s">
        <v>449</v>
      </c>
      <c r="T44" t="s">
        <v>449</v>
      </c>
      <c r="U44" t="s">
        <v>449</v>
      </c>
      <c r="V44" t="s">
        <v>449</v>
      </c>
      <c r="W44" t="s">
        <v>449</v>
      </c>
      <c r="X44" t="s">
        <v>449</v>
      </c>
      <c r="Y44" t="s">
        <v>449</v>
      </c>
      <c r="Z44" t="s">
        <v>449</v>
      </c>
      <c r="AA44" t="s">
        <v>449</v>
      </c>
      <c r="AB44" t="s">
        <v>449</v>
      </c>
      <c r="AC44" t="s">
        <v>449</v>
      </c>
      <c r="AD44" t="s">
        <v>449</v>
      </c>
      <c r="AE44" t="s">
        <v>449</v>
      </c>
      <c r="AF44" t="s">
        <v>449</v>
      </c>
      <c r="AG44" t="s">
        <v>449</v>
      </c>
      <c r="AH44" t="s">
        <v>449</v>
      </c>
      <c r="AI44" t="s">
        <v>449</v>
      </c>
      <c r="AJ44" t="s">
        <v>449</v>
      </c>
      <c r="AK44" t="s">
        <v>449</v>
      </c>
      <c r="AL44" t="s">
        <v>449</v>
      </c>
      <c r="AM44" t="s">
        <v>449</v>
      </c>
      <c r="AN44" t="s">
        <v>449</v>
      </c>
      <c r="AO44" t="s">
        <v>449</v>
      </c>
      <c r="AP44" t="s">
        <v>449</v>
      </c>
      <c r="AQ44" t="s">
        <v>449</v>
      </c>
      <c r="AR44" t="s">
        <v>449</v>
      </c>
      <c r="AS44" t="s">
        <v>449</v>
      </c>
      <c r="AT44" t="s">
        <v>450</v>
      </c>
      <c r="AU44" t="s">
        <v>450</v>
      </c>
      <c r="AV44" t="s">
        <v>450</v>
      </c>
      <c r="AW44" t="s">
        <v>450</v>
      </c>
      <c r="AX44" t="s">
        <v>450</v>
      </c>
      <c r="AY44" t="s">
        <v>450</v>
      </c>
      <c r="AZ44" t="s">
        <v>450</v>
      </c>
      <c r="BA44" t="s">
        <v>450</v>
      </c>
      <c r="BB44" t="s">
        <v>450</v>
      </c>
      <c r="BC44" t="s">
        <v>450</v>
      </c>
      <c r="BD44" t="s">
        <v>450</v>
      </c>
      <c r="BE44" t="s">
        <v>450</v>
      </c>
      <c r="BF44" t="s">
        <v>450</v>
      </c>
      <c r="BG44" t="s">
        <v>450</v>
      </c>
      <c r="BH44" t="s">
        <v>450</v>
      </c>
      <c r="BI44" t="s">
        <v>450</v>
      </c>
      <c r="BJ44" t="s">
        <v>450</v>
      </c>
      <c r="BK44" t="s">
        <v>450</v>
      </c>
      <c r="BL44" t="s">
        <v>450</v>
      </c>
      <c r="BM44" t="s">
        <v>450</v>
      </c>
      <c r="BN44" t="s">
        <v>450</v>
      </c>
      <c r="BO44" t="s">
        <v>450</v>
      </c>
      <c r="BP44" t="s">
        <v>451</v>
      </c>
      <c r="BQ44" t="s">
        <v>451</v>
      </c>
    </row>
    <row r="45" spans="1:69">
      <c r="A45" s="48"/>
      <c r="B45" s="48"/>
      <c r="C45" s="48" t="s">
        <v>460</v>
      </c>
      <c r="D45" s="73" t="s">
        <v>461</v>
      </c>
      <c r="E45" s="73" t="s">
        <v>462</v>
      </c>
      <c r="F45" s="1"/>
      <c r="Q45">
        <v>23</v>
      </c>
      <c r="R45" t="s">
        <v>449</v>
      </c>
      <c r="S45" t="s">
        <v>449</v>
      </c>
      <c r="T45" t="s">
        <v>449</v>
      </c>
      <c r="U45" t="s">
        <v>449</v>
      </c>
      <c r="V45" t="s">
        <v>449</v>
      </c>
      <c r="W45" t="s">
        <v>449</v>
      </c>
      <c r="X45" t="s">
        <v>449</v>
      </c>
      <c r="Y45" t="s">
        <v>449</v>
      </c>
      <c r="Z45" t="s">
        <v>449</v>
      </c>
      <c r="AA45" t="s">
        <v>449</v>
      </c>
      <c r="AB45" t="s">
        <v>449</v>
      </c>
      <c r="AC45" t="s">
        <v>449</v>
      </c>
      <c r="AD45" t="s">
        <v>449</v>
      </c>
      <c r="AE45" t="s">
        <v>449</v>
      </c>
      <c r="AF45" t="s">
        <v>449</v>
      </c>
      <c r="AG45" t="s">
        <v>449</v>
      </c>
      <c r="AH45" t="s">
        <v>449</v>
      </c>
      <c r="AI45" t="s">
        <v>449</v>
      </c>
      <c r="AJ45" t="s">
        <v>449</v>
      </c>
      <c r="AK45" t="s">
        <v>449</v>
      </c>
      <c r="AL45" t="s">
        <v>449</v>
      </c>
      <c r="AM45" t="s">
        <v>449</v>
      </c>
      <c r="AN45" t="s">
        <v>449</v>
      </c>
      <c r="AO45" t="s">
        <v>449</v>
      </c>
      <c r="AP45" t="s">
        <v>449</v>
      </c>
      <c r="AQ45" t="s">
        <v>449</v>
      </c>
      <c r="AR45" t="s">
        <v>449</v>
      </c>
      <c r="AS45" t="s">
        <v>449</v>
      </c>
      <c r="AT45" t="s">
        <v>450</v>
      </c>
      <c r="AU45" t="s">
        <v>450</v>
      </c>
      <c r="AV45" t="s">
        <v>450</v>
      </c>
      <c r="AW45" t="s">
        <v>450</v>
      </c>
      <c r="AX45" t="s">
        <v>450</v>
      </c>
      <c r="AY45" t="s">
        <v>450</v>
      </c>
      <c r="AZ45" t="s">
        <v>450</v>
      </c>
      <c r="BA45" t="s">
        <v>450</v>
      </c>
      <c r="BB45" t="s">
        <v>450</v>
      </c>
      <c r="BC45" t="s">
        <v>450</v>
      </c>
      <c r="BD45" t="s">
        <v>450</v>
      </c>
      <c r="BE45" t="s">
        <v>450</v>
      </c>
      <c r="BF45" t="s">
        <v>450</v>
      </c>
      <c r="BG45" t="s">
        <v>450</v>
      </c>
      <c r="BH45" t="s">
        <v>450</v>
      </c>
      <c r="BI45" t="s">
        <v>450</v>
      </c>
      <c r="BJ45" t="s">
        <v>450</v>
      </c>
      <c r="BK45" t="s">
        <v>450</v>
      </c>
      <c r="BL45" t="s">
        <v>450</v>
      </c>
      <c r="BM45" t="s">
        <v>450</v>
      </c>
      <c r="BN45" t="s">
        <v>450</v>
      </c>
      <c r="BO45" t="s">
        <v>450</v>
      </c>
      <c r="BP45" t="s">
        <v>451</v>
      </c>
      <c r="BQ45" t="s">
        <v>451</v>
      </c>
    </row>
    <row r="46" spans="1:69" ht="15" customHeight="1">
      <c r="A46" s="48"/>
      <c r="B46" s="48"/>
      <c r="C46" s="56"/>
      <c r="D46" s="75" t="str">
        <f>IF(C46="","",(0.1794/(C46/C16)^3.0417))</f>
        <v/>
      </c>
      <c r="E46" s="75" t="str">
        <f>IF(C46="","",0.3086/(C46/C16)^1.702)</f>
        <v/>
      </c>
      <c r="F46" s="1"/>
      <c r="Q46">
        <v>24</v>
      </c>
      <c r="R46" t="s">
        <v>449</v>
      </c>
      <c r="S46" t="s">
        <v>449</v>
      </c>
      <c r="T46" t="s">
        <v>449</v>
      </c>
      <c r="U46" t="s">
        <v>449</v>
      </c>
      <c r="V46" t="s">
        <v>449</v>
      </c>
      <c r="W46" t="s">
        <v>449</v>
      </c>
      <c r="X46" t="s">
        <v>449</v>
      </c>
      <c r="Y46" t="s">
        <v>449</v>
      </c>
      <c r="Z46" t="s">
        <v>449</v>
      </c>
      <c r="AA46" t="s">
        <v>449</v>
      </c>
      <c r="AB46" t="s">
        <v>449</v>
      </c>
      <c r="AC46" t="s">
        <v>449</v>
      </c>
      <c r="AD46" t="s">
        <v>449</v>
      </c>
      <c r="AE46" t="s">
        <v>449</v>
      </c>
      <c r="AF46" t="s">
        <v>449</v>
      </c>
      <c r="AG46" t="s">
        <v>449</v>
      </c>
      <c r="AH46" t="s">
        <v>449</v>
      </c>
      <c r="AI46" t="s">
        <v>449</v>
      </c>
      <c r="AJ46" t="s">
        <v>449</v>
      </c>
      <c r="AK46" t="s">
        <v>449</v>
      </c>
      <c r="AL46" t="s">
        <v>449</v>
      </c>
      <c r="AM46" t="s">
        <v>449</v>
      </c>
      <c r="AN46" t="s">
        <v>449</v>
      </c>
      <c r="AO46" t="s">
        <v>449</v>
      </c>
      <c r="AP46" t="s">
        <v>449</v>
      </c>
      <c r="AQ46" t="s">
        <v>449</v>
      </c>
      <c r="AR46" t="s">
        <v>449</v>
      </c>
      <c r="AS46" t="s">
        <v>449</v>
      </c>
      <c r="AT46" t="s">
        <v>450</v>
      </c>
      <c r="AU46" t="s">
        <v>450</v>
      </c>
      <c r="AV46" t="s">
        <v>450</v>
      </c>
      <c r="AW46" t="s">
        <v>450</v>
      </c>
      <c r="AX46" t="s">
        <v>450</v>
      </c>
      <c r="AY46" t="s">
        <v>450</v>
      </c>
      <c r="AZ46" t="s">
        <v>450</v>
      </c>
      <c r="BA46" t="s">
        <v>450</v>
      </c>
      <c r="BB46" t="s">
        <v>450</v>
      </c>
      <c r="BC46" t="s">
        <v>450</v>
      </c>
      <c r="BD46" t="s">
        <v>450</v>
      </c>
      <c r="BE46" t="s">
        <v>450</v>
      </c>
      <c r="BF46" t="s">
        <v>450</v>
      </c>
      <c r="BG46" t="s">
        <v>450</v>
      </c>
      <c r="BH46" t="s">
        <v>450</v>
      </c>
      <c r="BI46" t="s">
        <v>450</v>
      </c>
      <c r="BJ46" t="s">
        <v>450</v>
      </c>
      <c r="BK46" t="s">
        <v>450</v>
      </c>
      <c r="BL46" t="s">
        <v>450</v>
      </c>
      <c r="BM46" t="s">
        <v>450</v>
      </c>
      <c r="BN46" t="s">
        <v>450</v>
      </c>
      <c r="BO46" t="s">
        <v>450</v>
      </c>
      <c r="BP46" t="s">
        <v>451</v>
      </c>
      <c r="BQ46" t="s">
        <v>451</v>
      </c>
    </row>
    <row r="47" spans="1:69">
      <c r="A47" s="48"/>
      <c r="B47" s="48"/>
      <c r="C47" s="48"/>
      <c r="D47" s="73" t="s">
        <v>18</v>
      </c>
      <c r="E47" s="65"/>
      <c r="F47" s="1"/>
      <c r="L47">
        <f>+VLOOKUP('Crop Table'!B3,'Crop Table'!C3:E387,3)</f>
        <v>16</v>
      </c>
      <c r="Q47">
        <v>25</v>
      </c>
      <c r="R47" t="s">
        <v>449</v>
      </c>
      <c r="S47" t="s">
        <v>449</v>
      </c>
      <c r="T47" t="s">
        <v>449</v>
      </c>
      <c r="U47" t="s">
        <v>449</v>
      </c>
      <c r="V47" t="s">
        <v>449</v>
      </c>
      <c r="W47" t="s">
        <v>449</v>
      </c>
      <c r="X47" t="s">
        <v>449</v>
      </c>
      <c r="Y47" t="s">
        <v>449</v>
      </c>
      <c r="Z47" t="s">
        <v>449</v>
      </c>
      <c r="AA47" t="s">
        <v>449</v>
      </c>
      <c r="AB47" t="s">
        <v>449</v>
      </c>
      <c r="AC47" t="s">
        <v>449</v>
      </c>
      <c r="AD47" t="s">
        <v>449</v>
      </c>
      <c r="AE47" t="s">
        <v>449</v>
      </c>
      <c r="AF47" t="s">
        <v>449</v>
      </c>
      <c r="AG47" t="s">
        <v>449</v>
      </c>
      <c r="AH47" t="s">
        <v>449</v>
      </c>
      <c r="AI47" t="s">
        <v>449</v>
      </c>
      <c r="AJ47" t="s">
        <v>449</v>
      </c>
      <c r="AK47" t="s">
        <v>449</v>
      </c>
      <c r="AL47" t="s">
        <v>449</v>
      </c>
      <c r="AM47" t="s">
        <v>449</v>
      </c>
      <c r="AN47" t="s">
        <v>449</v>
      </c>
      <c r="AO47" t="s">
        <v>449</v>
      </c>
      <c r="AP47" t="s">
        <v>449</v>
      </c>
      <c r="AQ47" t="s">
        <v>449</v>
      </c>
      <c r="AR47" t="s">
        <v>449</v>
      </c>
      <c r="AS47" t="s">
        <v>449</v>
      </c>
      <c r="AT47" t="s">
        <v>450</v>
      </c>
      <c r="AU47" t="s">
        <v>450</v>
      </c>
      <c r="AV47" t="s">
        <v>450</v>
      </c>
      <c r="AW47" t="s">
        <v>450</v>
      </c>
      <c r="AX47" t="s">
        <v>450</v>
      </c>
      <c r="AY47" t="s">
        <v>450</v>
      </c>
      <c r="AZ47" t="s">
        <v>450</v>
      </c>
      <c r="BA47" t="s">
        <v>450</v>
      </c>
      <c r="BB47" t="s">
        <v>450</v>
      </c>
      <c r="BC47" t="s">
        <v>450</v>
      </c>
      <c r="BD47" t="s">
        <v>450</v>
      </c>
      <c r="BE47" t="s">
        <v>450</v>
      </c>
      <c r="BF47" t="s">
        <v>450</v>
      </c>
      <c r="BG47" t="s">
        <v>450</v>
      </c>
      <c r="BH47" t="s">
        <v>450</v>
      </c>
      <c r="BI47" t="s">
        <v>450</v>
      </c>
      <c r="BJ47" t="s">
        <v>450</v>
      </c>
      <c r="BK47" t="s">
        <v>450</v>
      </c>
      <c r="BL47" t="s">
        <v>450</v>
      </c>
      <c r="BM47" t="s">
        <v>450</v>
      </c>
      <c r="BN47" t="s">
        <v>450</v>
      </c>
      <c r="BO47" t="s">
        <v>450</v>
      </c>
      <c r="BP47" t="s">
        <v>451</v>
      </c>
      <c r="BQ47" t="s">
        <v>451</v>
      </c>
    </row>
    <row r="48" spans="1:69">
      <c r="A48" s="48"/>
      <c r="B48" s="48"/>
      <c r="C48" s="48"/>
      <c r="D48" s="62" t="str">
        <f>IF(D46="","",+$L47+D46*$L47)</f>
        <v/>
      </c>
      <c r="E48" s="62" t="str">
        <f>IF(E46="","",+$L47+E46*$L47)</f>
        <v/>
      </c>
      <c r="F48" s="1"/>
      <c r="Q48">
        <v>26</v>
      </c>
      <c r="R48" t="s">
        <v>449</v>
      </c>
      <c r="S48" t="s">
        <v>449</v>
      </c>
      <c r="T48" t="s">
        <v>449</v>
      </c>
      <c r="U48" t="s">
        <v>449</v>
      </c>
      <c r="V48" t="s">
        <v>449</v>
      </c>
      <c r="W48" t="s">
        <v>449</v>
      </c>
      <c r="X48" t="s">
        <v>449</v>
      </c>
      <c r="Y48" t="s">
        <v>449</v>
      </c>
      <c r="Z48" t="s">
        <v>449</v>
      </c>
      <c r="AA48" t="s">
        <v>449</v>
      </c>
      <c r="AB48" t="s">
        <v>449</v>
      </c>
      <c r="AC48" t="s">
        <v>449</v>
      </c>
      <c r="AD48" t="s">
        <v>449</v>
      </c>
      <c r="AE48" t="s">
        <v>449</v>
      </c>
      <c r="AF48" t="s">
        <v>449</v>
      </c>
      <c r="AG48" t="s">
        <v>449</v>
      </c>
      <c r="AH48" t="s">
        <v>449</v>
      </c>
      <c r="AI48" t="s">
        <v>449</v>
      </c>
      <c r="AJ48" t="s">
        <v>449</v>
      </c>
      <c r="AK48" t="s">
        <v>449</v>
      </c>
      <c r="AL48" t="s">
        <v>449</v>
      </c>
      <c r="AM48" t="s">
        <v>449</v>
      </c>
      <c r="AN48" t="s">
        <v>449</v>
      </c>
      <c r="AO48" t="s">
        <v>449</v>
      </c>
      <c r="AP48" t="s">
        <v>449</v>
      </c>
      <c r="AQ48" t="s">
        <v>449</v>
      </c>
      <c r="AR48" t="s">
        <v>449</v>
      </c>
      <c r="AS48" t="s">
        <v>449</v>
      </c>
      <c r="AT48" t="s">
        <v>450</v>
      </c>
      <c r="AU48" t="s">
        <v>450</v>
      </c>
      <c r="AV48" t="s">
        <v>450</v>
      </c>
      <c r="AW48" t="s">
        <v>450</v>
      </c>
      <c r="AX48" t="s">
        <v>450</v>
      </c>
      <c r="AY48" t="s">
        <v>450</v>
      </c>
      <c r="AZ48" t="s">
        <v>450</v>
      </c>
      <c r="BA48" t="s">
        <v>450</v>
      </c>
      <c r="BB48" t="s">
        <v>450</v>
      </c>
      <c r="BC48" t="s">
        <v>450</v>
      </c>
      <c r="BD48" t="s">
        <v>450</v>
      </c>
      <c r="BE48" t="s">
        <v>450</v>
      </c>
      <c r="BF48" t="s">
        <v>450</v>
      </c>
      <c r="BG48" t="s">
        <v>450</v>
      </c>
      <c r="BH48" t="s">
        <v>450</v>
      </c>
      <c r="BI48" t="s">
        <v>450</v>
      </c>
      <c r="BJ48" t="s">
        <v>450</v>
      </c>
      <c r="BK48" t="s">
        <v>450</v>
      </c>
      <c r="BL48" t="s">
        <v>450</v>
      </c>
      <c r="BM48" t="s">
        <v>450</v>
      </c>
      <c r="BN48" t="s">
        <v>450</v>
      </c>
      <c r="BO48" t="s">
        <v>450</v>
      </c>
      <c r="BP48" t="s">
        <v>451</v>
      </c>
      <c r="BQ48" t="s">
        <v>451</v>
      </c>
    </row>
    <row r="49" spans="1:69">
      <c r="A49" s="48"/>
      <c r="B49" s="48"/>
      <c r="C49" s="48"/>
      <c r="D49" s="62"/>
      <c r="E49" s="62"/>
      <c r="F49" s="1"/>
      <c r="Q49">
        <v>27</v>
      </c>
      <c r="R49" t="s">
        <v>449</v>
      </c>
      <c r="S49" t="s">
        <v>449</v>
      </c>
      <c r="T49" t="s">
        <v>449</v>
      </c>
      <c r="U49" t="s">
        <v>449</v>
      </c>
      <c r="V49" t="s">
        <v>449</v>
      </c>
      <c r="W49" t="s">
        <v>449</v>
      </c>
      <c r="X49" t="s">
        <v>449</v>
      </c>
      <c r="Y49" t="s">
        <v>449</v>
      </c>
      <c r="Z49" t="s">
        <v>449</v>
      </c>
      <c r="AA49" t="s">
        <v>449</v>
      </c>
      <c r="AB49" t="s">
        <v>449</v>
      </c>
      <c r="AC49" t="s">
        <v>449</v>
      </c>
      <c r="AD49" t="s">
        <v>449</v>
      </c>
      <c r="AE49" t="s">
        <v>449</v>
      </c>
      <c r="AF49" t="s">
        <v>449</v>
      </c>
      <c r="AG49" t="s">
        <v>449</v>
      </c>
      <c r="AH49" t="s">
        <v>449</v>
      </c>
      <c r="AI49" t="s">
        <v>449</v>
      </c>
      <c r="AJ49" t="s">
        <v>449</v>
      </c>
      <c r="AK49" t="s">
        <v>449</v>
      </c>
      <c r="AL49" t="s">
        <v>449</v>
      </c>
      <c r="AM49" t="s">
        <v>449</v>
      </c>
      <c r="AN49" t="s">
        <v>449</v>
      </c>
      <c r="AO49" t="s">
        <v>449</v>
      </c>
      <c r="AP49" t="s">
        <v>449</v>
      </c>
      <c r="AQ49" t="s">
        <v>449</v>
      </c>
      <c r="AR49" t="s">
        <v>449</v>
      </c>
      <c r="AS49" t="s">
        <v>449</v>
      </c>
      <c r="AT49" t="s">
        <v>450</v>
      </c>
      <c r="AU49" t="s">
        <v>450</v>
      </c>
      <c r="AV49" t="s">
        <v>450</v>
      </c>
      <c r="AW49" t="s">
        <v>450</v>
      </c>
      <c r="AX49" t="s">
        <v>450</v>
      </c>
      <c r="AY49" t="s">
        <v>450</v>
      </c>
      <c r="AZ49" t="s">
        <v>450</v>
      </c>
      <c r="BA49" t="s">
        <v>450</v>
      </c>
      <c r="BB49" t="s">
        <v>450</v>
      </c>
      <c r="BC49" t="s">
        <v>450</v>
      </c>
      <c r="BD49" t="s">
        <v>450</v>
      </c>
      <c r="BE49" t="s">
        <v>450</v>
      </c>
      <c r="BF49" t="s">
        <v>450</v>
      </c>
      <c r="BG49" t="s">
        <v>450</v>
      </c>
      <c r="BH49" t="s">
        <v>450</v>
      </c>
      <c r="BI49" t="s">
        <v>450</v>
      </c>
      <c r="BJ49" t="s">
        <v>450</v>
      </c>
      <c r="BK49" t="s">
        <v>450</v>
      </c>
      <c r="BL49" t="s">
        <v>450</v>
      </c>
      <c r="BM49" t="s">
        <v>450</v>
      </c>
      <c r="BN49" t="s">
        <v>450</v>
      </c>
      <c r="BO49" t="s">
        <v>450</v>
      </c>
      <c r="BP49" t="s">
        <v>451</v>
      </c>
      <c r="BQ49" t="s">
        <v>451</v>
      </c>
    </row>
    <row r="50" spans="1:69">
      <c r="A50" s="48"/>
      <c r="B50" s="71" t="s">
        <v>22</v>
      </c>
      <c r="C50" s="72"/>
      <c r="D50" s="76"/>
      <c r="E50" s="76"/>
      <c r="F50" s="24"/>
      <c r="Q50">
        <v>28</v>
      </c>
      <c r="R50" t="s">
        <v>449</v>
      </c>
      <c r="S50" t="s">
        <v>449</v>
      </c>
      <c r="T50" t="s">
        <v>449</v>
      </c>
      <c r="U50" t="s">
        <v>449</v>
      </c>
      <c r="V50" t="s">
        <v>449</v>
      </c>
      <c r="W50" t="s">
        <v>449</v>
      </c>
      <c r="X50" t="s">
        <v>449</v>
      </c>
      <c r="Y50" t="s">
        <v>449</v>
      </c>
      <c r="Z50" t="s">
        <v>449</v>
      </c>
      <c r="AA50" t="s">
        <v>449</v>
      </c>
      <c r="AB50" t="s">
        <v>449</v>
      </c>
      <c r="AC50" t="s">
        <v>449</v>
      </c>
      <c r="AD50" t="s">
        <v>449</v>
      </c>
      <c r="AE50" t="s">
        <v>449</v>
      </c>
      <c r="AF50" t="s">
        <v>449</v>
      </c>
      <c r="AG50" t="s">
        <v>449</v>
      </c>
      <c r="AH50" t="s">
        <v>449</v>
      </c>
      <c r="AI50" t="s">
        <v>449</v>
      </c>
      <c r="AJ50" t="s">
        <v>449</v>
      </c>
      <c r="AK50" t="s">
        <v>449</v>
      </c>
      <c r="AL50" t="s">
        <v>449</v>
      </c>
      <c r="AM50" t="s">
        <v>449</v>
      </c>
      <c r="AN50" t="s">
        <v>449</v>
      </c>
      <c r="AO50" t="s">
        <v>449</v>
      </c>
      <c r="AP50" t="s">
        <v>449</v>
      </c>
      <c r="AQ50" t="s">
        <v>449</v>
      </c>
      <c r="AR50" t="s">
        <v>449</v>
      </c>
      <c r="AS50" t="s">
        <v>449</v>
      </c>
      <c r="AT50" t="s">
        <v>450</v>
      </c>
      <c r="AU50" t="s">
        <v>450</v>
      </c>
      <c r="AV50" t="s">
        <v>450</v>
      </c>
      <c r="AW50" t="s">
        <v>450</v>
      </c>
      <c r="AX50" t="s">
        <v>450</v>
      </c>
      <c r="AY50" t="s">
        <v>450</v>
      </c>
      <c r="AZ50" t="s">
        <v>450</v>
      </c>
      <c r="BA50" t="s">
        <v>450</v>
      </c>
      <c r="BB50" t="s">
        <v>450</v>
      </c>
      <c r="BC50" t="s">
        <v>450</v>
      </c>
      <c r="BD50" t="s">
        <v>450</v>
      </c>
      <c r="BE50" t="s">
        <v>450</v>
      </c>
      <c r="BF50" t="s">
        <v>450</v>
      </c>
      <c r="BG50" t="s">
        <v>450</v>
      </c>
      <c r="BH50" t="s">
        <v>450</v>
      </c>
      <c r="BI50" t="s">
        <v>450</v>
      </c>
      <c r="BJ50" t="s">
        <v>450</v>
      </c>
      <c r="BK50" t="s">
        <v>450</v>
      </c>
      <c r="BL50" t="s">
        <v>450</v>
      </c>
      <c r="BM50" t="s">
        <v>450</v>
      </c>
      <c r="BN50" t="s">
        <v>450</v>
      </c>
      <c r="BO50" t="s">
        <v>450</v>
      </c>
      <c r="BP50" t="s">
        <v>451</v>
      </c>
      <c r="BQ50" t="s">
        <v>451</v>
      </c>
    </row>
    <row r="51" spans="1:69">
      <c r="A51" s="48"/>
      <c r="B51" s="90" t="s">
        <v>493</v>
      </c>
      <c r="C51" s="77"/>
      <c r="D51" s="92" t="s">
        <v>489</v>
      </c>
      <c r="E51" s="89" t="str">
        <f>+IF(C51="","No Data","")</f>
        <v>No Data</v>
      </c>
      <c r="F51" s="1"/>
      <c r="Q51">
        <v>29</v>
      </c>
      <c r="R51" t="s">
        <v>449</v>
      </c>
      <c r="S51" t="s">
        <v>449</v>
      </c>
      <c r="T51" t="s">
        <v>449</v>
      </c>
      <c r="U51" t="s">
        <v>449</v>
      </c>
      <c r="V51" t="s">
        <v>449</v>
      </c>
      <c r="W51" t="s">
        <v>449</v>
      </c>
      <c r="X51" t="s">
        <v>449</v>
      </c>
      <c r="Y51" t="s">
        <v>449</v>
      </c>
      <c r="Z51" t="s">
        <v>449</v>
      </c>
      <c r="AA51" t="s">
        <v>449</v>
      </c>
      <c r="AB51" t="s">
        <v>449</v>
      </c>
      <c r="AC51" t="s">
        <v>449</v>
      </c>
      <c r="AD51" t="s">
        <v>449</v>
      </c>
      <c r="AE51" t="s">
        <v>449</v>
      </c>
      <c r="AF51" t="s">
        <v>449</v>
      </c>
      <c r="AG51" t="s">
        <v>449</v>
      </c>
      <c r="AH51" t="s">
        <v>449</v>
      </c>
      <c r="AI51" t="s">
        <v>449</v>
      </c>
      <c r="AJ51" t="s">
        <v>449</v>
      </c>
      <c r="AK51" t="s">
        <v>449</v>
      </c>
      <c r="AL51" t="s">
        <v>449</v>
      </c>
      <c r="AM51" t="s">
        <v>449</v>
      </c>
      <c r="AN51" t="s">
        <v>449</v>
      </c>
      <c r="AO51" t="s">
        <v>449</v>
      </c>
      <c r="AP51" t="s">
        <v>449</v>
      </c>
      <c r="AQ51" t="s">
        <v>449</v>
      </c>
      <c r="AR51" t="s">
        <v>449</v>
      </c>
      <c r="AS51" t="s">
        <v>449</v>
      </c>
      <c r="AT51" t="s">
        <v>450</v>
      </c>
      <c r="AU51" t="s">
        <v>450</v>
      </c>
      <c r="AV51" t="s">
        <v>450</v>
      </c>
      <c r="AW51" t="s">
        <v>450</v>
      </c>
      <c r="AX51" t="s">
        <v>450</v>
      </c>
      <c r="AY51" t="s">
        <v>450</v>
      </c>
      <c r="AZ51" t="s">
        <v>450</v>
      </c>
      <c r="BA51" t="s">
        <v>450</v>
      </c>
      <c r="BB51" t="s">
        <v>450</v>
      </c>
      <c r="BC51" t="s">
        <v>450</v>
      </c>
      <c r="BD51" t="s">
        <v>450</v>
      </c>
      <c r="BE51" t="s">
        <v>450</v>
      </c>
      <c r="BF51" t="s">
        <v>450</v>
      </c>
      <c r="BG51" t="s">
        <v>450</v>
      </c>
      <c r="BH51" t="s">
        <v>450</v>
      </c>
      <c r="BI51" t="s">
        <v>450</v>
      </c>
      <c r="BJ51" t="s">
        <v>450</v>
      </c>
      <c r="BK51" t="s">
        <v>450</v>
      </c>
      <c r="BL51" t="s">
        <v>450</v>
      </c>
      <c r="BM51" t="s">
        <v>450</v>
      </c>
      <c r="BN51" t="s">
        <v>450</v>
      </c>
      <c r="BO51" t="s">
        <v>450</v>
      </c>
      <c r="BP51" t="s">
        <v>451</v>
      </c>
      <c r="BQ51" t="s">
        <v>451</v>
      </c>
    </row>
    <row r="52" spans="1:69">
      <c r="A52" s="48"/>
      <c r="B52" s="90" t="s">
        <v>494</v>
      </c>
      <c r="C52" s="77"/>
      <c r="D52" s="92" t="s">
        <v>17</v>
      </c>
      <c r="E52" s="89" t="str">
        <f>+IF(C52="","No Data","")</f>
        <v>No Data</v>
      </c>
      <c r="F52" s="1"/>
      <c r="Q52">
        <v>30</v>
      </c>
      <c r="R52" t="s">
        <v>449</v>
      </c>
      <c r="S52" t="s">
        <v>449</v>
      </c>
      <c r="T52" t="s">
        <v>449</v>
      </c>
      <c r="U52" t="s">
        <v>449</v>
      </c>
      <c r="V52" t="s">
        <v>449</v>
      </c>
      <c r="W52" t="s">
        <v>449</v>
      </c>
      <c r="X52" t="s">
        <v>449</v>
      </c>
      <c r="Y52" t="s">
        <v>449</v>
      </c>
      <c r="Z52" t="s">
        <v>449</v>
      </c>
      <c r="AA52" t="s">
        <v>449</v>
      </c>
      <c r="AB52" t="s">
        <v>449</v>
      </c>
      <c r="AC52" t="s">
        <v>449</v>
      </c>
      <c r="AD52" t="s">
        <v>449</v>
      </c>
      <c r="AE52" t="s">
        <v>449</v>
      </c>
      <c r="AF52" t="s">
        <v>449</v>
      </c>
      <c r="AG52" t="s">
        <v>449</v>
      </c>
      <c r="AH52" t="s">
        <v>449</v>
      </c>
      <c r="AI52" t="s">
        <v>449</v>
      </c>
      <c r="AJ52" t="s">
        <v>449</v>
      </c>
      <c r="AK52" t="s">
        <v>449</v>
      </c>
      <c r="AL52" t="s">
        <v>449</v>
      </c>
      <c r="AM52" t="s">
        <v>449</v>
      </c>
      <c r="AN52" t="s">
        <v>449</v>
      </c>
      <c r="AO52" t="s">
        <v>449</v>
      </c>
      <c r="AP52" t="s">
        <v>449</v>
      </c>
      <c r="AQ52" t="s">
        <v>449</v>
      </c>
      <c r="AR52" t="s">
        <v>449</v>
      </c>
      <c r="AS52" t="s">
        <v>449</v>
      </c>
      <c r="AT52" t="s">
        <v>450</v>
      </c>
      <c r="AU52" t="s">
        <v>450</v>
      </c>
      <c r="AV52" t="s">
        <v>450</v>
      </c>
      <c r="AW52" t="s">
        <v>450</v>
      </c>
      <c r="AX52" t="s">
        <v>450</v>
      </c>
      <c r="AY52" t="s">
        <v>450</v>
      </c>
      <c r="AZ52" t="s">
        <v>450</v>
      </c>
      <c r="BA52" t="s">
        <v>450</v>
      </c>
      <c r="BB52" t="s">
        <v>450</v>
      </c>
      <c r="BC52" t="s">
        <v>450</v>
      </c>
      <c r="BD52" t="s">
        <v>450</v>
      </c>
      <c r="BE52" t="s">
        <v>450</v>
      </c>
      <c r="BF52" t="s">
        <v>450</v>
      </c>
      <c r="BG52" t="s">
        <v>450</v>
      </c>
      <c r="BH52" t="s">
        <v>450</v>
      </c>
      <c r="BI52" t="s">
        <v>450</v>
      </c>
      <c r="BJ52" t="s">
        <v>450</v>
      </c>
      <c r="BK52" t="s">
        <v>450</v>
      </c>
      <c r="BL52" t="s">
        <v>450</v>
      </c>
      <c r="BM52" t="s">
        <v>450</v>
      </c>
      <c r="BN52" t="s">
        <v>450</v>
      </c>
      <c r="BO52" t="s">
        <v>450</v>
      </c>
      <c r="BP52" t="s">
        <v>451</v>
      </c>
      <c r="BQ52" t="s">
        <v>451</v>
      </c>
    </row>
    <row r="53" spans="1:69">
      <c r="A53" s="48"/>
      <c r="B53" s="91" t="s">
        <v>495</v>
      </c>
      <c r="C53" s="77"/>
      <c r="D53" s="92" t="s">
        <v>489</v>
      </c>
      <c r="E53" s="89" t="str">
        <f>+IF(C53="","No Data","")</f>
        <v>No Data</v>
      </c>
      <c r="F53" s="1"/>
      <c r="Q53">
        <v>31</v>
      </c>
      <c r="R53" t="s">
        <v>449</v>
      </c>
      <c r="S53" t="s">
        <v>449</v>
      </c>
      <c r="T53" t="s">
        <v>449</v>
      </c>
      <c r="U53" t="s">
        <v>449</v>
      </c>
      <c r="V53" t="s">
        <v>449</v>
      </c>
      <c r="W53" t="s">
        <v>449</v>
      </c>
      <c r="X53" t="s">
        <v>449</v>
      </c>
      <c r="Y53" t="s">
        <v>449</v>
      </c>
      <c r="Z53" t="s">
        <v>449</v>
      </c>
      <c r="AA53" t="s">
        <v>449</v>
      </c>
      <c r="AB53" t="s">
        <v>449</v>
      </c>
      <c r="AC53" t="s">
        <v>449</v>
      </c>
      <c r="AD53" t="s">
        <v>449</v>
      </c>
      <c r="AE53" t="s">
        <v>449</v>
      </c>
      <c r="AF53" t="s">
        <v>449</v>
      </c>
      <c r="AG53" t="s">
        <v>449</v>
      </c>
      <c r="AH53" t="s">
        <v>449</v>
      </c>
      <c r="AI53" t="s">
        <v>449</v>
      </c>
      <c r="AJ53" t="s">
        <v>449</v>
      </c>
      <c r="AK53" t="s">
        <v>449</v>
      </c>
      <c r="AL53" t="s">
        <v>449</v>
      </c>
      <c r="AM53" t="s">
        <v>449</v>
      </c>
      <c r="AN53" t="s">
        <v>449</v>
      </c>
      <c r="AO53" t="s">
        <v>449</v>
      </c>
      <c r="AP53" t="s">
        <v>449</v>
      </c>
      <c r="AQ53" t="s">
        <v>449</v>
      </c>
      <c r="AR53" t="s">
        <v>449</v>
      </c>
      <c r="AS53" t="s">
        <v>449</v>
      </c>
      <c r="AT53" t="s">
        <v>450</v>
      </c>
      <c r="AU53" t="s">
        <v>450</v>
      </c>
      <c r="AV53" t="s">
        <v>450</v>
      </c>
      <c r="AW53" t="s">
        <v>450</v>
      </c>
      <c r="AX53" t="s">
        <v>450</v>
      </c>
      <c r="AY53" t="s">
        <v>450</v>
      </c>
      <c r="AZ53" t="s">
        <v>450</v>
      </c>
      <c r="BA53" t="s">
        <v>450</v>
      </c>
      <c r="BB53" t="s">
        <v>450</v>
      </c>
      <c r="BC53" t="s">
        <v>450</v>
      </c>
      <c r="BD53" t="s">
        <v>450</v>
      </c>
      <c r="BE53" t="s">
        <v>450</v>
      </c>
      <c r="BF53" t="s">
        <v>450</v>
      </c>
      <c r="BG53" t="s">
        <v>450</v>
      </c>
      <c r="BH53" t="s">
        <v>450</v>
      </c>
      <c r="BI53" t="s">
        <v>450</v>
      </c>
      <c r="BJ53" t="s">
        <v>450</v>
      </c>
      <c r="BK53" t="s">
        <v>450</v>
      </c>
      <c r="BL53" t="s">
        <v>450</v>
      </c>
      <c r="BM53" t="s">
        <v>450</v>
      </c>
      <c r="BN53" t="s">
        <v>450</v>
      </c>
      <c r="BO53" t="s">
        <v>450</v>
      </c>
      <c r="BP53" t="s">
        <v>451</v>
      </c>
      <c r="BQ53" t="s">
        <v>451</v>
      </c>
    </row>
    <row r="54" spans="1:69">
      <c r="A54" s="48"/>
      <c r="B54" s="91" t="s">
        <v>496</v>
      </c>
      <c r="C54" s="77"/>
      <c r="D54" s="92" t="s">
        <v>489</v>
      </c>
      <c r="E54" s="89" t="str">
        <f>+IF(C54="","No Data","")</f>
        <v>No Data</v>
      </c>
      <c r="F54" s="1"/>
      <c r="Q54">
        <v>32</v>
      </c>
      <c r="R54" t="s">
        <v>449</v>
      </c>
      <c r="S54" t="s">
        <v>449</v>
      </c>
      <c r="T54" t="s">
        <v>449</v>
      </c>
      <c r="U54" t="s">
        <v>449</v>
      </c>
      <c r="V54" t="s">
        <v>449</v>
      </c>
      <c r="W54" t="s">
        <v>449</v>
      </c>
      <c r="X54" t="s">
        <v>449</v>
      </c>
      <c r="Y54" t="s">
        <v>449</v>
      </c>
      <c r="Z54" t="s">
        <v>449</v>
      </c>
      <c r="AA54" t="s">
        <v>449</v>
      </c>
      <c r="AB54" t="s">
        <v>449</v>
      </c>
      <c r="AC54" t="s">
        <v>449</v>
      </c>
      <c r="AD54" t="s">
        <v>449</v>
      </c>
      <c r="AE54" t="s">
        <v>449</v>
      </c>
      <c r="AF54" t="s">
        <v>449</v>
      </c>
      <c r="AG54" t="s">
        <v>449</v>
      </c>
      <c r="AH54" t="s">
        <v>449</v>
      </c>
      <c r="AI54" t="s">
        <v>449</v>
      </c>
      <c r="AJ54" t="s">
        <v>449</v>
      </c>
      <c r="AK54" t="s">
        <v>449</v>
      </c>
      <c r="AL54" t="s">
        <v>449</v>
      </c>
      <c r="AM54" t="s">
        <v>449</v>
      </c>
      <c r="AN54" t="s">
        <v>449</v>
      </c>
      <c r="AO54" t="s">
        <v>449</v>
      </c>
      <c r="AP54" t="s">
        <v>449</v>
      </c>
      <c r="AQ54" t="s">
        <v>449</v>
      </c>
      <c r="AR54" t="s">
        <v>449</v>
      </c>
      <c r="AS54" t="s">
        <v>449</v>
      </c>
      <c r="AT54" t="s">
        <v>450</v>
      </c>
      <c r="AU54" t="s">
        <v>450</v>
      </c>
      <c r="AV54" t="s">
        <v>450</v>
      </c>
      <c r="AW54" t="s">
        <v>450</v>
      </c>
      <c r="AX54" t="s">
        <v>450</v>
      </c>
      <c r="AY54" t="s">
        <v>450</v>
      </c>
      <c r="AZ54" t="s">
        <v>450</v>
      </c>
      <c r="BA54" t="s">
        <v>450</v>
      </c>
      <c r="BB54" t="s">
        <v>450</v>
      </c>
      <c r="BC54" t="s">
        <v>450</v>
      </c>
      <c r="BD54" t="s">
        <v>450</v>
      </c>
      <c r="BE54" t="s">
        <v>450</v>
      </c>
      <c r="BF54" t="s">
        <v>450</v>
      </c>
      <c r="BG54" t="s">
        <v>450</v>
      </c>
      <c r="BH54" t="s">
        <v>450</v>
      </c>
      <c r="BI54" t="s">
        <v>450</v>
      </c>
      <c r="BJ54" t="s">
        <v>450</v>
      </c>
      <c r="BK54" t="s">
        <v>450</v>
      </c>
      <c r="BL54" t="s">
        <v>450</v>
      </c>
      <c r="BM54" t="s">
        <v>450</v>
      </c>
      <c r="BN54" t="s">
        <v>450</v>
      </c>
      <c r="BO54" t="s">
        <v>450</v>
      </c>
      <c r="BP54" t="s">
        <v>451</v>
      </c>
      <c r="BQ54" t="s">
        <v>451</v>
      </c>
    </row>
    <row r="55" spans="1:69">
      <c r="A55" s="48"/>
      <c r="B55" s="91" t="s">
        <v>497</v>
      </c>
      <c r="C55" s="77"/>
      <c r="D55" s="92" t="s">
        <v>489</v>
      </c>
      <c r="E55" s="89" t="str">
        <f>+IF(C55="","No Data","")</f>
        <v>No Data</v>
      </c>
      <c r="F55" s="1"/>
      <c r="Q55">
        <v>33</v>
      </c>
      <c r="R55" t="s">
        <v>449</v>
      </c>
      <c r="S55" t="s">
        <v>449</v>
      </c>
      <c r="T55" t="s">
        <v>449</v>
      </c>
      <c r="U55" t="s">
        <v>449</v>
      </c>
      <c r="V55" t="s">
        <v>449</v>
      </c>
      <c r="W55" t="s">
        <v>449</v>
      </c>
      <c r="X55" t="s">
        <v>449</v>
      </c>
      <c r="Y55" t="s">
        <v>449</v>
      </c>
      <c r="Z55" t="s">
        <v>449</v>
      </c>
      <c r="AA55" t="s">
        <v>449</v>
      </c>
      <c r="AB55" t="s">
        <v>449</v>
      </c>
      <c r="AC55" t="s">
        <v>449</v>
      </c>
      <c r="AD55" t="s">
        <v>449</v>
      </c>
      <c r="AE55" t="s">
        <v>449</v>
      </c>
      <c r="AF55" t="s">
        <v>449</v>
      </c>
      <c r="AG55" t="s">
        <v>449</v>
      </c>
      <c r="AH55" t="s">
        <v>449</v>
      </c>
      <c r="AI55" t="s">
        <v>449</v>
      </c>
      <c r="AJ55" t="s">
        <v>449</v>
      </c>
      <c r="AK55" t="s">
        <v>449</v>
      </c>
      <c r="AL55" t="s">
        <v>449</v>
      </c>
      <c r="AM55" t="s">
        <v>449</v>
      </c>
      <c r="AN55" t="s">
        <v>449</v>
      </c>
      <c r="AO55" t="s">
        <v>449</v>
      </c>
      <c r="AP55" t="s">
        <v>449</v>
      </c>
      <c r="AQ55" t="s">
        <v>449</v>
      </c>
      <c r="AR55" t="s">
        <v>449</v>
      </c>
      <c r="AS55" t="s">
        <v>449</v>
      </c>
      <c r="AT55" t="s">
        <v>450</v>
      </c>
      <c r="AU55" t="s">
        <v>450</v>
      </c>
      <c r="AV55" t="s">
        <v>450</v>
      </c>
      <c r="AW55" t="s">
        <v>450</v>
      </c>
      <c r="AX55" t="s">
        <v>450</v>
      </c>
      <c r="AY55" t="s">
        <v>450</v>
      </c>
      <c r="AZ55" t="s">
        <v>450</v>
      </c>
      <c r="BA55" t="s">
        <v>450</v>
      </c>
      <c r="BB55" t="s">
        <v>450</v>
      </c>
      <c r="BC55" t="s">
        <v>450</v>
      </c>
      <c r="BD55" t="s">
        <v>450</v>
      </c>
      <c r="BE55" t="s">
        <v>450</v>
      </c>
      <c r="BF55" t="s">
        <v>450</v>
      </c>
      <c r="BG55" t="s">
        <v>450</v>
      </c>
      <c r="BH55" t="s">
        <v>450</v>
      </c>
      <c r="BI55" t="s">
        <v>450</v>
      </c>
      <c r="BJ55" t="s">
        <v>450</v>
      </c>
      <c r="BK55" t="s">
        <v>450</v>
      </c>
      <c r="BL55" t="s">
        <v>450</v>
      </c>
      <c r="BM55" t="s">
        <v>450</v>
      </c>
      <c r="BN55" t="s">
        <v>450</v>
      </c>
      <c r="BO55" t="s">
        <v>450</v>
      </c>
      <c r="BP55" t="s">
        <v>451</v>
      </c>
      <c r="BQ55" t="s">
        <v>451</v>
      </c>
    </row>
    <row r="56" spans="1:69">
      <c r="A56" s="48"/>
      <c r="B56" s="91" t="s">
        <v>392</v>
      </c>
      <c r="C56" s="61" t="str">
        <f>IF(C35="","",Y6)</f>
        <v/>
      </c>
      <c r="D56" s="92" t="s">
        <v>490</v>
      </c>
      <c r="E56" s="89" t="str">
        <f>+IF(C35="","No Data","")</f>
        <v>No Data</v>
      </c>
      <c r="F56" s="1"/>
      <c r="Q56">
        <v>34</v>
      </c>
      <c r="R56" t="s">
        <v>449</v>
      </c>
      <c r="S56" t="s">
        <v>449</v>
      </c>
      <c r="T56" t="s">
        <v>449</v>
      </c>
      <c r="U56" t="s">
        <v>449</v>
      </c>
      <c r="V56" t="s">
        <v>449</v>
      </c>
      <c r="W56" t="s">
        <v>449</v>
      </c>
      <c r="X56" t="s">
        <v>449</v>
      </c>
      <c r="Y56" t="s">
        <v>449</v>
      </c>
      <c r="Z56" t="s">
        <v>449</v>
      </c>
      <c r="AA56" t="s">
        <v>449</v>
      </c>
      <c r="AB56" t="s">
        <v>449</v>
      </c>
      <c r="AC56" t="s">
        <v>449</v>
      </c>
      <c r="AD56" t="s">
        <v>449</v>
      </c>
      <c r="AE56" t="s">
        <v>449</v>
      </c>
      <c r="AF56" t="s">
        <v>449</v>
      </c>
      <c r="AG56" t="s">
        <v>449</v>
      </c>
      <c r="AH56" t="s">
        <v>449</v>
      </c>
      <c r="AI56" t="s">
        <v>449</v>
      </c>
      <c r="AJ56" t="s">
        <v>449</v>
      </c>
      <c r="AK56" t="s">
        <v>449</v>
      </c>
      <c r="AL56" t="s">
        <v>449</v>
      </c>
      <c r="AM56" t="s">
        <v>449</v>
      </c>
      <c r="AN56" t="s">
        <v>449</v>
      </c>
      <c r="AO56" t="s">
        <v>449</v>
      </c>
      <c r="AP56" t="s">
        <v>449</v>
      </c>
      <c r="AQ56" t="s">
        <v>449</v>
      </c>
      <c r="AR56" t="s">
        <v>449</v>
      </c>
      <c r="AS56" t="s">
        <v>449</v>
      </c>
      <c r="AT56" t="s">
        <v>450</v>
      </c>
      <c r="AU56" t="s">
        <v>450</v>
      </c>
      <c r="AV56" t="s">
        <v>450</v>
      </c>
      <c r="AW56" t="s">
        <v>450</v>
      </c>
      <c r="AX56" t="s">
        <v>450</v>
      </c>
      <c r="AY56" t="s">
        <v>450</v>
      </c>
      <c r="AZ56" t="s">
        <v>450</v>
      </c>
      <c r="BA56" t="s">
        <v>450</v>
      </c>
      <c r="BB56" t="s">
        <v>450</v>
      </c>
      <c r="BC56" t="s">
        <v>450</v>
      </c>
      <c r="BD56" t="s">
        <v>450</v>
      </c>
      <c r="BE56" t="s">
        <v>450</v>
      </c>
      <c r="BF56" t="s">
        <v>450</v>
      </c>
      <c r="BG56" t="s">
        <v>450</v>
      </c>
      <c r="BH56" t="s">
        <v>450</v>
      </c>
      <c r="BI56" t="s">
        <v>450</v>
      </c>
      <c r="BJ56" t="s">
        <v>450</v>
      </c>
      <c r="BK56" t="s">
        <v>450</v>
      </c>
      <c r="BL56" t="s">
        <v>450</v>
      </c>
      <c r="BM56" t="s">
        <v>450</v>
      </c>
      <c r="BN56" t="s">
        <v>450</v>
      </c>
      <c r="BO56" t="s">
        <v>450</v>
      </c>
      <c r="BP56" t="s">
        <v>451</v>
      </c>
      <c r="BQ56" t="s">
        <v>451</v>
      </c>
    </row>
    <row r="57" spans="1:69">
      <c r="A57" s="1"/>
      <c r="B57" s="25"/>
      <c r="C57" s="1"/>
      <c r="D57" s="20"/>
      <c r="E57" s="20"/>
      <c r="F57" s="1"/>
      <c r="Q57">
        <v>35</v>
      </c>
      <c r="R57" t="s">
        <v>449</v>
      </c>
      <c r="S57" t="s">
        <v>449</v>
      </c>
      <c r="T57" t="s">
        <v>449</v>
      </c>
      <c r="U57" t="s">
        <v>449</v>
      </c>
      <c r="V57" t="s">
        <v>449</v>
      </c>
      <c r="W57" t="s">
        <v>449</v>
      </c>
      <c r="X57" t="s">
        <v>449</v>
      </c>
      <c r="Y57" t="s">
        <v>449</v>
      </c>
      <c r="Z57" t="s">
        <v>449</v>
      </c>
      <c r="AA57" t="s">
        <v>449</v>
      </c>
      <c r="AB57" t="s">
        <v>449</v>
      </c>
      <c r="AC57" t="s">
        <v>449</v>
      </c>
      <c r="AD57" t="s">
        <v>449</v>
      </c>
      <c r="AE57" t="s">
        <v>449</v>
      </c>
      <c r="AF57" t="s">
        <v>449</v>
      </c>
      <c r="AG57" t="s">
        <v>449</v>
      </c>
      <c r="AH57" t="s">
        <v>449</v>
      </c>
      <c r="AI57" t="s">
        <v>449</v>
      </c>
      <c r="AJ57" t="s">
        <v>449</v>
      </c>
      <c r="AK57" t="s">
        <v>449</v>
      </c>
      <c r="AL57" t="s">
        <v>449</v>
      </c>
      <c r="AM57" t="s">
        <v>449</v>
      </c>
      <c r="AN57" t="s">
        <v>449</v>
      </c>
      <c r="AO57" t="s">
        <v>449</v>
      </c>
      <c r="AP57" t="s">
        <v>449</v>
      </c>
      <c r="AQ57" t="s">
        <v>449</v>
      </c>
      <c r="AR57" t="s">
        <v>449</v>
      </c>
      <c r="AS57" t="s">
        <v>449</v>
      </c>
      <c r="AT57" t="s">
        <v>450</v>
      </c>
      <c r="AU57" t="s">
        <v>450</v>
      </c>
      <c r="AV57" t="s">
        <v>450</v>
      </c>
      <c r="AW57" t="s">
        <v>450</v>
      </c>
      <c r="AX57" t="s">
        <v>450</v>
      </c>
      <c r="AY57" t="s">
        <v>450</v>
      </c>
      <c r="AZ57" t="s">
        <v>450</v>
      </c>
      <c r="BA57" t="s">
        <v>450</v>
      </c>
      <c r="BB57" t="s">
        <v>450</v>
      </c>
      <c r="BC57" t="s">
        <v>450</v>
      </c>
      <c r="BD57" t="s">
        <v>450</v>
      </c>
      <c r="BE57" t="s">
        <v>450</v>
      </c>
      <c r="BF57" t="s">
        <v>450</v>
      </c>
      <c r="BG57" t="s">
        <v>450</v>
      </c>
      <c r="BH57" t="s">
        <v>450</v>
      </c>
      <c r="BI57" t="s">
        <v>450</v>
      </c>
      <c r="BJ57" t="s">
        <v>450</v>
      </c>
      <c r="BK57" t="s">
        <v>450</v>
      </c>
      <c r="BL57" t="s">
        <v>450</v>
      </c>
      <c r="BM57" t="s">
        <v>450</v>
      </c>
      <c r="BN57" t="s">
        <v>450</v>
      </c>
      <c r="BO57" t="s">
        <v>450</v>
      </c>
      <c r="BP57" t="s">
        <v>451</v>
      </c>
      <c r="BQ57" t="s">
        <v>451</v>
      </c>
    </row>
    <row r="58" spans="1:69">
      <c r="Q58">
        <v>36</v>
      </c>
      <c r="R58" t="s">
        <v>449</v>
      </c>
      <c r="S58" t="s">
        <v>449</v>
      </c>
      <c r="T58" t="s">
        <v>449</v>
      </c>
      <c r="U58" t="s">
        <v>449</v>
      </c>
      <c r="V58" t="s">
        <v>449</v>
      </c>
      <c r="W58" t="s">
        <v>449</v>
      </c>
      <c r="X58" t="s">
        <v>449</v>
      </c>
      <c r="Y58" t="s">
        <v>449</v>
      </c>
      <c r="Z58" t="s">
        <v>449</v>
      </c>
      <c r="AA58" t="s">
        <v>449</v>
      </c>
      <c r="AB58" t="s">
        <v>449</v>
      </c>
      <c r="AC58" t="s">
        <v>449</v>
      </c>
      <c r="AD58" t="s">
        <v>449</v>
      </c>
      <c r="AE58" t="s">
        <v>449</v>
      </c>
      <c r="AF58" t="s">
        <v>449</v>
      </c>
      <c r="AG58" t="s">
        <v>449</v>
      </c>
      <c r="AH58" t="s">
        <v>449</v>
      </c>
      <c r="AI58" t="s">
        <v>449</v>
      </c>
      <c r="AJ58" t="s">
        <v>449</v>
      </c>
      <c r="AK58" t="s">
        <v>449</v>
      </c>
      <c r="AL58" t="s">
        <v>449</v>
      </c>
      <c r="AM58" t="s">
        <v>449</v>
      </c>
      <c r="AN58" t="s">
        <v>449</v>
      </c>
      <c r="AO58" t="s">
        <v>449</v>
      </c>
      <c r="AP58" t="s">
        <v>449</v>
      </c>
      <c r="AQ58" t="s">
        <v>449</v>
      </c>
      <c r="AR58" t="s">
        <v>449</v>
      </c>
      <c r="AS58" t="s">
        <v>449</v>
      </c>
      <c r="AT58" t="s">
        <v>450</v>
      </c>
      <c r="AU58" t="s">
        <v>450</v>
      </c>
      <c r="AV58" t="s">
        <v>450</v>
      </c>
      <c r="AW58" t="s">
        <v>450</v>
      </c>
      <c r="AX58" t="s">
        <v>450</v>
      </c>
      <c r="AY58" t="s">
        <v>450</v>
      </c>
      <c r="AZ58" t="s">
        <v>450</v>
      </c>
      <c r="BA58" t="s">
        <v>450</v>
      </c>
      <c r="BB58" t="s">
        <v>450</v>
      </c>
      <c r="BC58" t="s">
        <v>450</v>
      </c>
      <c r="BD58" t="s">
        <v>450</v>
      </c>
      <c r="BE58" t="s">
        <v>450</v>
      </c>
      <c r="BF58" t="s">
        <v>450</v>
      </c>
      <c r="BG58" t="s">
        <v>450</v>
      </c>
      <c r="BH58" t="s">
        <v>450</v>
      </c>
      <c r="BI58" t="s">
        <v>450</v>
      </c>
      <c r="BJ58" t="s">
        <v>450</v>
      </c>
      <c r="BK58" t="s">
        <v>450</v>
      </c>
      <c r="BL58" t="s">
        <v>450</v>
      </c>
      <c r="BM58" t="s">
        <v>450</v>
      </c>
      <c r="BN58" t="s">
        <v>450</v>
      </c>
      <c r="BO58" t="s">
        <v>450</v>
      </c>
      <c r="BP58" t="s">
        <v>451</v>
      </c>
      <c r="BQ58" t="s">
        <v>451</v>
      </c>
    </row>
    <row r="59" spans="1:69">
      <c r="Q59">
        <v>37</v>
      </c>
      <c r="R59" t="s">
        <v>449</v>
      </c>
      <c r="S59" t="s">
        <v>449</v>
      </c>
      <c r="T59" t="s">
        <v>449</v>
      </c>
      <c r="U59" t="s">
        <v>449</v>
      </c>
      <c r="V59" t="s">
        <v>449</v>
      </c>
      <c r="W59" t="s">
        <v>449</v>
      </c>
      <c r="X59" t="s">
        <v>449</v>
      </c>
      <c r="Y59" t="s">
        <v>449</v>
      </c>
      <c r="Z59" t="s">
        <v>449</v>
      </c>
      <c r="AA59" t="s">
        <v>449</v>
      </c>
      <c r="AB59" t="s">
        <v>449</v>
      </c>
      <c r="AC59" t="s">
        <v>449</v>
      </c>
      <c r="AD59" t="s">
        <v>449</v>
      </c>
      <c r="AE59" t="s">
        <v>449</v>
      </c>
      <c r="AF59" t="s">
        <v>449</v>
      </c>
      <c r="AG59" t="s">
        <v>449</v>
      </c>
      <c r="AH59" t="s">
        <v>449</v>
      </c>
      <c r="AI59" t="s">
        <v>449</v>
      </c>
      <c r="AJ59" t="s">
        <v>449</v>
      </c>
      <c r="AK59" t="s">
        <v>449</v>
      </c>
      <c r="AL59" t="s">
        <v>449</v>
      </c>
      <c r="AM59" t="s">
        <v>449</v>
      </c>
      <c r="AN59" t="s">
        <v>449</v>
      </c>
      <c r="AO59" t="s">
        <v>449</v>
      </c>
      <c r="AP59" t="s">
        <v>449</v>
      </c>
      <c r="AQ59" t="s">
        <v>449</v>
      </c>
      <c r="AR59" t="s">
        <v>449</v>
      </c>
      <c r="AS59" t="s">
        <v>449</v>
      </c>
      <c r="AT59" t="s">
        <v>450</v>
      </c>
      <c r="AU59" t="s">
        <v>450</v>
      </c>
      <c r="AV59" t="s">
        <v>450</v>
      </c>
      <c r="AW59" t="s">
        <v>450</v>
      </c>
      <c r="AX59" t="s">
        <v>450</v>
      </c>
      <c r="AY59" t="s">
        <v>450</v>
      </c>
      <c r="AZ59" t="s">
        <v>450</v>
      </c>
      <c r="BA59" t="s">
        <v>450</v>
      </c>
      <c r="BB59" t="s">
        <v>450</v>
      </c>
      <c r="BC59" t="s">
        <v>450</v>
      </c>
      <c r="BD59" t="s">
        <v>450</v>
      </c>
      <c r="BE59" t="s">
        <v>450</v>
      </c>
      <c r="BF59" t="s">
        <v>450</v>
      </c>
      <c r="BG59" t="s">
        <v>450</v>
      </c>
      <c r="BH59" t="s">
        <v>450</v>
      </c>
      <c r="BI59" t="s">
        <v>450</v>
      </c>
      <c r="BJ59" t="s">
        <v>450</v>
      </c>
      <c r="BK59" t="s">
        <v>450</v>
      </c>
      <c r="BL59" t="s">
        <v>450</v>
      </c>
      <c r="BM59" t="s">
        <v>450</v>
      </c>
      <c r="BN59" t="s">
        <v>450</v>
      </c>
      <c r="BO59" t="s">
        <v>450</v>
      </c>
      <c r="BP59" t="s">
        <v>451</v>
      </c>
      <c r="BQ59" t="s">
        <v>451</v>
      </c>
    </row>
    <row r="60" spans="1:69">
      <c r="Q60">
        <v>38</v>
      </c>
      <c r="R60" t="s">
        <v>449</v>
      </c>
      <c r="S60" t="s">
        <v>449</v>
      </c>
      <c r="T60" t="s">
        <v>449</v>
      </c>
      <c r="U60" t="s">
        <v>449</v>
      </c>
      <c r="V60" t="s">
        <v>449</v>
      </c>
      <c r="W60" t="s">
        <v>449</v>
      </c>
      <c r="X60" t="s">
        <v>449</v>
      </c>
      <c r="Y60" t="s">
        <v>449</v>
      </c>
      <c r="Z60" t="s">
        <v>449</v>
      </c>
      <c r="AA60" t="s">
        <v>449</v>
      </c>
      <c r="AB60" t="s">
        <v>449</v>
      </c>
      <c r="AC60" t="s">
        <v>449</v>
      </c>
      <c r="AD60" t="s">
        <v>449</v>
      </c>
      <c r="AE60" t="s">
        <v>449</v>
      </c>
      <c r="AF60" t="s">
        <v>449</v>
      </c>
      <c r="AG60" t="s">
        <v>449</v>
      </c>
      <c r="AH60" t="s">
        <v>449</v>
      </c>
      <c r="AI60" t="s">
        <v>449</v>
      </c>
      <c r="AJ60" t="s">
        <v>449</v>
      </c>
      <c r="AK60" t="s">
        <v>449</v>
      </c>
      <c r="AL60" t="s">
        <v>449</v>
      </c>
      <c r="AM60" t="s">
        <v>449</v>
      </c>
      <c r="AN60" t="s">
        <v>449</v>
      </c>
      <c r="AO60" t="s">
        <v>449</v>
      </c>
      <c r="AP60" t="s">
        <v>449</v>
      </c>
      <c r="AQ60" t="s">
        <v>449</v>
      </c>
      <c r="AR60" t="s">
        <v>449</v>
      </c>
      <c r="AS60" t="s">
        <v>449</v>
      </c>
      <c r="AT60" t="s">
        <v>450</v>
      </c>
      <c r="AU60" t="s">
        <v>450</v>
      </c>
      <c r="AV60" t="s">
        <v>450</v>
      </c>
      <c r="AW60" t="s">
        <v>450</v>
      </c>
      <c r="AX60" t="s">
        <v>450</v>
      </c>
      <c r="AY60" t="s">
        <v>450</v>
      </c>
      <c r="AZ60" t="s">
        <v>450</v>
      </c>
      <c r="BA60" t="s">
        <v>450</v>
      </c>
      <c r="BB60" t="s">
        <v>450</v>
      </c>
      <c r="BC60" t="s">
        <v>450</v>
      </c>
      <c r="BD60" t="s">
        <v>450</v>
      </c>
      <c r="BE60" t="s">
        <v>450</v>
      </c>
      <c r="BF60" t="s">
        <v>450</v>
      </c>
      <c r="BG60" t="s">
        <v>450</v>
      </c>
      <c r="BH60" t="s">
        <v>450</v>
      </c>
      <c r="BI60" t="s">
        <v>450</v>
      </c>
      <c r="BJ60" t="s">
        <v>450</v>
      </c>
      <c r="BK60" t="s">
        <v>450</v>
      </c>
      <c r="BL60" t="s">
        <v>450</v>
      </c>
      <c r="BM60" t="s">
        <v>450</v>
      </c>
      <c r="BN60" t="s">
        <v>450</v>
      </c>
      <c r="BO60" t="s">
        <v>450</v>
      </c>
      <c r="BP60" t="s">
        <v>451</v>
      </c>
      <c r="BQ60" t="s">
        <v>451</v>
      </c>
    </row>
    <row r="61" spans="1:69">
      <c r="Q61">
        <v>39</v>
      </c>
      <c r="R61" t="s">
        <v>449</v>
      </c>
      <c r="S61" t="s">
        <v>449</v>
      </c>
      <c r="T61" t="s">
        <v>449</v>
      </c>
      <c r="U61" t="s">
        <v>449</v>
      </c>
      <c r="V61" t="s">
        <v>449</v>
      </c>
      <c r="W61" t="s">
        <v>449</v>
      </c>
      <c r="X61" t="s">
        <v>449</v>
      </c>
      <c r="Y61" t="s">
        <v>449</v>
      </c>
      <c r="Z61" t="s">
        <v>449</v>
      </c>
      <c r="AA61" t="s">
        <v>449</v>
      </c>
      <c r="AB61" t="s">
        <v>449</v>
      </c>
      <c r="AC61" t="s">
        <v>449</v>
      </c>
      <c r="AD61" t="s">
        <v>449</v>
      </c>
      <c r="AE61" t="s">
        <v>449</v>
      </c>
      <c r="AF61" t="s">
        <v>449</v>
      </c>
      <c r="AG61" t="s">
        <v>449</v>
      </c>
      <c r="AH61" t="s">
        <v>449</v>
      </c>
      <c r="AI61" t="s">
        <v>449</v>
      </c>
      <c r="AJ61" t="s">
        <v>449</v>
      </c>
      <c r="AK61" t="s">
        <v>449</v>
      </c>
      <c r="AL61" t="s">
        <v>449</v>
      </c>
      <c r="AM61" t="s">
        <v>449</v>
      </c>
      <c r="AN61" t="s">
        <v>449</v>
      </c>
      <c r="AO61" t="s">
        <v>449</v>
      </c>
      <c r="AP61" t="s">
        <v>449</v>
      </c>
      <c r="AQ61" t="s">
        <v>449</v>
      </c>
      <c r="AR61" t="s">
        <v>449</v>
      </c>
      <c r="AS61" t="s">
        <v>449</v>
      </c>
      <c r="AT61" t="s">
        <v>450</v>
      </c>
      <c r="AU61" t="s">
        <v>450</v>
      </c>
      <c r="AV61" t="s">
        <v>450</v>
      </c>
      <c r="AW61" t="s">
        <v>450</v>
      </c>
      <c r="AX61" t="s">
        <v>450</v>
      </c>
      <c r="AY61" t="s">
        <v>450</v>
      </c>
      <c r="AZ61" t="s">
        <v>450</v>
      </c>
      <c r="BA61" t="s">
        <v>450</v>
      </c>
      <c r="BB61" t="s">
        <v>450</v>
      </c>
      <c r="BC61" t="s">
        <v>450</v>
      </c>
      <c r="BD61" t="s">
        <v>450</v>
      </c>
      <c r="BE61" t="s">
        <v>450</v>
      </c>
      <c r="BF61" t="s">
        <v>450</v>
      </c>
      <c r="BG61" t="s">
        <v>450</v>
      </c>
      <c r="BH61" t="s">
        <v>450</v>
      </c>
      <c r="BI61" t="s">
        <v>450</v>
      </c>
      <c r="BJ61" t="s">
        <v>450</v>
      </c>
      <c r="BK61" t="s">
        <v>450</v>
      </c>
      <c r="BL61" t="s">
        <v>450</v>
      </c>
      <c r="BM61" t="s">
        <v>450</v>
      </c>
      <c r="BN61" t="s">
        <v>450</v>
      </c>
      <c r="BO61" t="s">
        <v>450</v>
      </c>
      <c r="BP61" t="s">
        <v>451</v>
      </c>
      <c r="BQ61" t="s">
        <v>451</v>
      </c>
    </row>
    <row r="62" spans="1:69">
      <c r="Q62">
        <v>40</v>
      </c>
      <c r="R62" t="s">
        <v>449</v>
      </c>
      <c r="S62" t="s">
        <v>449</v>
      </c>
      <c r="T62" t="s">
        <v>449</v>
      </c>
      <c r="U62" t="s">
        <v>449</v>
      </c>
      <c r="V62" t="s">
        <v>449</v>
      </c>
      <c r="W62" t="s">
        <v>449</v>
      </c>
      <c r="X62" t="s">
        <v>449</v>
      </c>
      <c r="Y62" t="s">
        <v>449</v>
      </c>
      <c r="Z62" t="s">
        <v>449</v>
      </c>
      <c r="AA62" t="s">
        <v>449</v>
      </c>
      <c r="AB62" t="s">
        <v>449</v>
      </c>
      <c r="AC62" t="s">
        <v>449</v>
      </c>
      <c r="AD62" t="s">
        <v>449</v>
      </c>
      <c r="AE62" t="s">
        <v>449</v>
      </c>
      <c r="AF62" t="s">
        <v>449</v>
      </c>
      <c r="AG62" t="s">
        <v>449</v>
      </c>
      <c r="AH62" t="s">
        <v>449</v>
      </c>
      <c r="AI62" t="s">
        <v>449</v>
      </c>
      <c r="AJ62" t="s">
        <v>449</v>
      </c>
      <c r="AK62" t="s">
        <v>449</v>
      </c>
      <c r="AL62" t="s">
        <v>449</v>
      </c>
      <c r="AM62" t="s">
        <v>449</v>
      </c>
      <c r="AN62" t="s">
        <v>449</v>
      </c>
      <c r="AO62" t="s">
        <v>449</v>
      </c>
      <c r="AP62" t="s">
        <v>449</v>
      </c>
      <c r="AQ62" t="s">
        <v>449</v>
      </c>
      <c r="AR62" t="s">
        <v>449</v>
      </c>
      <c r="AS62" t="s">
        <v>449</v>
      </c>
      <c r="AT62" t="s">
        <v>450</v>
      </c>
      <c r="AU62" t="s">
        <v>450</v>
      </c>
      <c r="AV62" t="s">
        <v>450</v>
      </c>
      <c r="AW62" t="s">
        <v>450</v>
      </c>
      <c r="AX62" t="s">
        <v>450</v>
      </c>
      <c r="AY62" t="s">
        <v>450</v>
      </c>
      <c r="AZ62" t="s">
        <v>450</v>
      </c>
      <c r="BA62" t="s">
        <v>450</v>
      </c>
      <c r="BB62" t="s">
        <v>450</v>
      </c>
      <c r="BC62" t="s">
        <v>450</v>
      </c>
      <c r="BD62" t="s">
        <v>450</v>
      </c>
      <c r="BE62" t="s">
        <v>450</v>
      </c>
      <c r="BF62" t="s">
        <v>450</v>
      </c>
      <c r="BG62" t="s">
        <v>450</v>
      </c>
      <c r="BH62" t="s">
        <v>450</v>
      </c>
      <c r="BI62" t="s">
        <v>450</v>
      </c>
      <c r="BJ62" t="s">
        <v>450</v>
      </c>
      <c r="BK62" t="s">
        <v>450</v>
      </c>
      <c r="BL62" t="s">
        <v>450</v>
      </c>
      <c r="BM62" t="s">
        <v>450</v>
      </c>
      <c r="BN62" t="s">
        <v>450</v>
      </c>
      <c r="BO62" t="s">
        <v>450</v>
      </c>
      <c r="BP62" t="s">
        <v>451</v>
      </c>
      <c r="BQ62" t="s">
        <v>451</v>
      </c>
    </row>
    <row r="63" spans="1:69" ht="14">
      <c r="R63" s="21" t="s">
        <v>498</v>
      </c>
    </row>
    <row r="64" spans="1:69">
      <c r="R64">
        <v>0.1</v>
      </c>
      <c r="S64">
        <v>0.2</v>
      </c>
      <c r="T64" s="6">
        <v>0.3</v>
      </c>
      <c r="U64">
        <v>0.4</v>
      </c>
      <c r="V64">
        <v>0.5</v>
      </c>
      <c r="W64" s="6">
        <v>0.6</v>
      </c>
      <c r="X64">
        <v>0.7</v>
      </c>
      <c r="Y64">
        <v>0.8</v>
      </c>
      <c r="Z64" s="6">
        <v>0.9</v>
      </c>
      <c r="AA64">
        <v>1</v>
      </c>
      <c r="AB64">
        <v>1.1000000000000001</v>
      </c>
      <c r="AC64" s="6">
        <v>1.2</v>
      </c>
      <c r="AD64">
        <v>1.3</v>
      </c>
      <c r="AE64">
        <v>1.4</v>
      </c>
      <c r="AF64" s="6">
        <v>1.5</v>
      </c>
      <c r="AG64">
        <v>1.6</v>
      </c>
      <c r="AH64">
        <v>1.7</v>
      </c>
      <c r="AI64" s="6">
        <v>1.8</v>
      </c>
      <c r="AJ64">
        <v>1.9</v>
      </c>
      <c r="AK64">
        <v>2</v>
      </c>
      <c r="AL64" s="6">
        <v>2.1</v>
      </c>
      <c r="AM64">
        <v>2.2000000000000002</v>
      </c>
      <c r="AN64">
        <v>2.2999999999999998</v>
      </c>
      <c r="AO64" s="6">
        <v>2.4</v>
      </c>
      <c r="AP64">
        <v>2.5</v>
      </c>
      <c r="AQ64">
        <v>2.6</v>
      </c>
      <c r="AR64" s="6">
        <v>2.7</v>
      </c>
      <c r="AS64">
        <v>2.8</v>
      </c>
      <c r="AT64">
        <v>2.9</v>
      </c>
      <c r="AU64" s="6">
        <v>3</v>
      </c>
      <c r="AV64">
        <v>3.1</v>
      </c>
      <c r="AW64">
        <v>3.2</v>
      </c>
      <c r="AX64" s="6">
        <v>3.3</v>
      </c>
      <c r="AY64">
        <v>3.4</v>
      </c>
      <c r="AZ64">
        <v>3.5</v>
      </c>
      <c r="BA64" s="6">
        <v>3.6</v>
      </c>
      <c r="BB64">
        <v>3.7</v>
      </c>
      <c r="BC64">
        <v>3.8</v>
      </c>
      <c r="BD64" s="6">
        <v>3.9</v>
      </c>
      <c r="BE64">
        <v>4</v>
      </c>
      <c r="BF64">
        <v>4.0999999999999996</v>
      </c>
      <c r="BG64" s="6">
        <v>4.2</v>
      </c>
      <c r="BH64">
        <v>4.3</v>
      </c>
      <c r="BI64">
        <v>4.4000000000000004</v>
      </c>
      <c r="BJ64" s="6">
        <v>4.5</v>
      </c>
      <c r="BK64">
        <v>4.5999999999999996</v>
      </c>
      <c r="BL64">
        <v>4.7</v>
      </c>
      <c r="BM64" s="6">
        <v>4.8</v>
      </c>
      <c r="BN64">
        <v>4.9000000000000004</v>
      </c>
      <c r="BO64">
        <v>5</v>
      </c>
      <c r="BP64" s="6">
        <v>5.0999999999999996</v>
      </c>
      <c r="BQ64">
        <v>5.2</v>
      </c>
    </row>
    <row r="65" spans="7:69">
      <c r="R65" t="e">
        <f>VLOOKUP($Q$14,$Q$22:$BQ$62,2)</f>
        <v>#VALUE!</v>
      </c>
      <c r="S65" t="e">
        <f>VLOOKUP($Q$14,$Q$22:$BQ$62,3)</f>
        <v>#VALUE!</v>
      </c>
      <c r="T65" t="e">
        <f>VLOOKUP($Q$14,$Q$22:$BQ$62,4)</f>
        <v>#VALUE!</v>
      </c>
      <c r="U65" t="e">
        <f>VLOOKUP($Q$14,$Q$22:$BQ$62,5)</f>
        <v>#VALUE!</v>
      </c>
      <c r="V65" t="e">
        <f>VLOOKUP($Q$14,$Q$22:$BQ$62,6)</f>
        <v>#VALUE!</v>
      </c>
      <c r="W65" t="e">
        <f>VLOOKUP($Q$14,$Q$22:$BQ$62,7)</f>
        <v>#VALUE!</v>
      </c>
      <c r="X65" t="e">
        <f>VLOOKUP($Q$14,$Q$22:$BQ$62,8)</f>
        <v>#VALUE!</v>
      </c>
      <c r="Y65" t="e">
        <f>VLOOKUP($Q$14,$Q$22:$BQ$62,9)</f>
        <v>#VALUE!</v>
      </c>
      <c r="Z65" t="e">
        <f>VLOOKUP($Q$14,$Q$22:$BQ$62,10)</f>
        <v>#VALUE!</v>
      </c>
      <c r="AA65" t="e">
        <f>VLOOKUP($Q$14,$Q$22:$BQ$62,11)</f>
        <v>#VALUE!</v>
      </c>
      <c r="AB65" t="e">
        <f>VLOOKUP($Q$14,$Q$22:$BQ$62,12)</f>
        <v>#VALUE!</v>
      </c>
      <c r="AC65" t="e">
        <f>VLOOKUP($Q$14,$Q$22:$BQ$62,13)</f>
        <v>#VALUE!</v>
      </c>
      <c r="AD65" t="e">
        <f>VLOOKUP($Q$14,$Q$22:$BQ$62,14)</f>
        <v>#VALUE!</v>
      </c>
      <c r="AE65" t="e">
        <f>VLOOKUP($Q$14,$Q$22:$BQ$62,15)</f>
        <v>#VALUE!</v>
      </c>
      <c r="AF65" t="e">
        <f>VLOOKUP($Q$14,$Q$22:$BQ$62,16)</f>
        <v>#VALUE!</v>
      </c>
      <c r="AG65" t="e">
        <f>VLOOKUP($Q$14,$Q$22:$BQ$62,17)</f>
        <v>#VALUE!</v>
      </c>
      <c r="AH65" t="e">
        <f>VLOOKUP($Q$14,$Q$22:$BQ$62,18)</f>
        <v>#VALUE!</v>
      </c>
      <c r="AI65" t="e">
        <f>VLOOKUP($Q$14,$Q$22:$BQ$62,19)</f>
        <v>#VALUE!</v>
      </c>
      <c r="AJ65" t="e">
        <f>VLOOKUP($Q$14,$Q$22:$BQ$62,20)</f>
        <v>#VALUE!</v>
      </c>
      <c r="AK65" t="e">
        <f>VLOOKUP($Q$14,$Q$22:$BQ$62,21)</f>
        <v>#VALUE!</v>
      </c>
      <c r="AL65" t="e">
        <f>VLOOKUP($Q$14,$Q$22:$BQ$62,22)</f>
        <v>#VALUE!</v>
      </c>
      <c r="AM65" t="e">
        <f>VLOOKUP($Q$14,$Q$22:$BQ$62,23)</f>
        <v>#VALUE!</v>
      </c>
      <c r="AN65" t="e">
        <f>VLOOKUP($Q$14,$Q$22:$BQ$62,24)</f>
        <v>#VALUE!</v>
      </c>
      <c r="AO65" t="e">
        <f>VLOOKUP($Q$14,$Q$22:$BQ$62,25)</f>
        <v>#VALUE!</v>
      </c>
      <c r="AP65" t="e">
        <f>VLOOKUP($Q$14,$Q$22:$BQ$62,26)</f>
        <v>#VALUE!</v>
      </c>
      <c r="AQ65" t="e">
        <f>VLOOKUP($Q$14,$Q$22:$BQ$62,27)</f>
        <v>#VALUE!</v>
      </c>
      <c r="AR65" t="e">
        <f>VLOOKUP($Q$14,$Q$22:$BQ$62,28)</f>
        <v>#VALUE!</v>
      </c>
      <c r="AS65" t="e">
        <f>VLOOKUP($Q$14,$Q$22:$BQ$62,29)</f>
        <v>#VALUE!</v>
      </c>
      <c r="AT65" t="e">
        <f>VLOOKUP($Q$14,$Q$22:$BQ$62,30)</f>
        <v>#VALUE!</v>
      </c>
      <c r="AU65" t="e">
        <f>VLOOKUP($Q$14,$Q$22:$BQ$62,31)</f>
        <v>#VALUE!</v>
      </c>
      <c r="AV65" t="e">
        <f>VLOOKUP($Q$14,$Q$22:$BQ$62,32)</f>
        <v>#VALUE!</v>
      </c>
      <c r="AW65" t="e">
        <f>VLOOKUP($Q$14,$Q$22:$BQ$62,33)</f>
        <v>#VALUE!</v>
      </c>
      <c r="AX65" t="e">
        <f>VLOOKUP($Q$14,$Q$22:$BQ$62,34)</f>
        <v>#VALUE!</v>
      </c>
      <c r="AY65" t="e">
        <f>VLOOKUP($Q$14,$Q$22:$BQ$62,35)</f>
        <v>#VALUE!</v>
      </c>
      <c r="AZ65" t="e">
        <f>VLOOKUP($Q$14,$Q$22:$BQ$62,36)</f>
        <v>#VALUE!</v>
      </c>
      <c r="BA65" t="e">
        <f>VLOOKUP($Q$14,$Q$22:$BQ$62,37)</f>
        <v>#VALUE!</v>
      </c>
      <c r="BB65" t="e">
        <f>VLOOKUP($Q$14,$Q$22:$BQ$62,38)</f>
        <v>#VALUE!</v>
      </c>
      <c r="BC65" t="e">
        <f>VLOOKUP($Q$14,$Q$22:$BQ$62,39)</f>
        <v>#VALUE!</v>
      </c>
      <c r="BD65" t="e">
        <f>VLOOKUP($Q$14,$Q$22:$BQ$62,40)</f>
        <v>#VALUE!</v>
      </c>
      <c r="BE65" t="e">
        <f>VLOOKUP($Q$14,$Q$22:$BQ$62,41)</f>
        <v>#VALUE!</v>
      </c>
      <c r="BF65" t="e">
        <f>VLOOKUP($Q$14,$Q$22:$BQ$62,42)</f>
        <v>#VALUE!</v>
      </c>
      <c r="BG65" t="e">
        <f>VLOOKUP($Q$14,$Q$22:$BQ$62,43)</f>
        <v>#VALUE!</v>
      </c>
      <c r="BH65" t="e">
        <f>VLOOKUP($Q$14,$Q$22:$BQ$62,44)</f>
        <v>#VALUE!</v>
      </c>
      <c r="BI65" t="e">
        <f>VLOOKUP($Q$14,$Q$22:$BQ$62,45)</f>
        <v>#VALUE!</v>
      </c>
      <c r="BJ65" t="e">
        <f>VLOOKUP($Q$14,$Q$22:$BQ$62,46)</f>
        <v>#VALUE!</v>
      </c>
      <c r="BK65" t="e">
        <f>VLOOKUP($Q$14,$Q$22:$BQ$62,47)</f>
        <v>#VALUE!</v>
      </c>
      <c r="BL65" t="e">
        <f>VLOOKUP($Q$14,$Q$22:$BQ$62,48)</f>
        <v>#VALUE!</v>
      </c>
      <c r="BM65" t="e">
        <f>VLOOKUP($Q$14,$Q$22:$BQ$62,49)</f>
        <v>#VALUE!</v>
      </c>
      <c r="BN65" t="e">
        <f>VLOOKUP($Q$14,$Q$22:$BQ$62,50)</f>
        <v>#VALUE!</v>
      </c>
      <c r="BO65" t="e">
        <f>VLOOKUP($Q$14,$Q$22:$BQ$62,51)</f>
        <v>#VALUE!</v>
      </c>
      <c r="BP65" t="e">
        <f>VLOOKUP($Q$14,$Q$22:$BQ$62,52)</f>
        <v>#VALUE!</v>
      </c>
      <c r="BQ65" t="e">
        <f>VLOOKUP($Q$14,$Q$22:$BQ$62,53)</f>
        <v>#VALUE!</v>
      </c>
    </row>
    <row r="66" spans="7:69" ht="14">
      <c r="R66" s="21" t="s">
        <v>499</v>
      </c>
    </row>
    <row r="67" spans="7:69">
      <c r="R67">
        <v>0.1</v>
      </c>
      <c r="S67">
        <v>0.2</v>
      </c>
      <c r="T67" s="6">
        <v>0.3</v>
      </c>
      <c r="U67">
        <v>0.4</v>
      </c>
      <c r="V67">
        <v>0.5</v>
      </c>
      <c r="W67" s="6">
        <v>0.6</v>
      </c>
      <c r="X67">
        <v>0.7</v>
      </c>
      <c r="Y67">
        <v>0.8</v>
      </c>
      <c r="Z67" s="6">
        <v>0.9</v>
      </c>
      <c r="AA67">
        <v>1</v>
      </c>
      <c r="AB67">
        <v>1.1000000000000001</v>
      </c>
      <c r="AC67" s="6">
        <v>1.2</v>
      </c>
      <c r="AD67">
        <v>1.3</v>
      </c>
      <c r="AE67">
        <v>1.4</v>
      </c>
      <c r="AF67" s="6">
        <v>1.5</v>
      </c>
      <c r="AG67">
        <v>1.6</v>
      </c>
      <c r="AH67">
        <v>1.7</v>
      </c>
      <c r="AI67" s="6">
        <v>1.8</v>
      </c>
      <c r="AJ67">
        <v>1.9</v>
      </c>
      <c r="AK67">
        <v>2</v>
      </c>
      <c r="AL67" s="6">
        <v>2.1</v>
      </c>
      <c r="AM67">
        <v>2.2000000000000002</v>
      </c>
      <c r="AN67">
        <v>2.2999999999999998</v>
      </c>
      <c r="AO67" s="6">
        <v>2.4</v>
      </c>
      <c r="AP67">
        <v>2.5</v>
      </c>
      <c r="AQ67">
        <v>2.6</v>
      </c>
      <c r="AR67" s="6">
        <v>2.7</v>
      </c>
      <c r="AS67">
        <v>2.8</v>
      </c>
      <c r="AT67">
        <v>2.9</v>
      </c>
      <c r="AU67" s="6">
        <v>3</v>
      </c>
      <c r="AV67">
        <v>3.1</v>
      </c>
      <c r="AW67">
        <v>3.2</v>
      </c>
      <c r="AX67" s="6">
        <v>3.3</v>
      </c>
      <c r="AY67">
        <v>3.4</v>
      </c>
      <c r="AZ67">
        <v>3.5</v>
      </c>
      <c r="BA67" s="6">
        <v>3.6</v>
      </c>
      <c r="BB67">
        <v>3.7</v>
      </c>
      <c r="BC67">
        <v>3.8</v>
      </c>
      <c r="BD67" s="6">
        <v>3.9</v>
      </c>
      <c r="BE67">
        <v>4</v>
      </c>
      <c r="BF67">
        <v>4.0999999999999996</v>
      </c>
      <c r="BG67" s="6">
        <v>4.2</v>
      </c>
      <c r="BH67">
        <v>4.3</v>
      </c>
      <c r="BI67">
        <v>4.4000000000000004</v>
      </c>
      <c r="BJ67" s="6">
        <v>4.5</v>
      </c>
      <c r="BK67">
        <v>4.5999999999999996</v>
      </c>
      <c r="BL67">
        <v>4.7</v>
      </c>
      <c r="BM67" s="6">
        <v>4.8</v>
      </c>
      <c r="BN67">
        <v>4.9000000000000004</v>
      </c>
      <c r="BO67">
        <v>5</v>
      </c>
      <c r="BP67" s="6">
        <v>5.0999999999999996</v>
      </c>
      <c r="BQ67">
        <v>5.2</v>
      </c>
    </row>
    <row r="68" spans="7:69">
      <c r="R68" t="e">
        <f>VLOOKUP($T$13,$Q$22:$BQ$62,2)</f>
        <v>#N/A</v>
      </c>
      <c r="S68" t="e">
        <f>VLOOKUP($T$13,$Q$22:$BQ$62,3)</f>
        <v>#N/A</v>
      </c>
      <c r="T68" t="e">
        <f>VLOOKUP($T$13,$Q$22:$BQ$62,3)</f>
        <v>#N/A</v>
      </c>
      <c r="U68" t="e">
        <f>VLOOKUP($T$13,$Q$22:$BQ$62,4)</f>
        <v>#N/A</v>
      </c>
      <c r="V68" t="e">
        <f>VLOOKUP($T$13,$Q$22:$BQ$62,5)</f>
        <v>#N/A</v>
      </c>
      <c r="W68" t="e">
        <f>VLOOKUP($T$13,$Q$22:$BQ$62,6)</f>
        <v>#N/A</v>
      </c>
      <c r="X68" t="e">
        <f>VLOOKUP($T$13,$Q$22:$BQ$62,7)</f>
        <v>#N/A</v>
      </c>
      <c r="Y68" t="e">
        <f>VLOOKUP($T$13,$Q$22:$BQ$62,8)</f>
        <v>#N/A</v>
      </c>
      <c r="Z68" t="e">
        <f>VLOOKUP($T$13,$Q$22:$BQ$62,9)</f>
        <v>#N/A</v>
      </c>
      <c r="AA68" t="e">
        <f>VLOOKUP($T$13,$Q$22:$BQ$62,10)</f>
        <v>#N/A</v>
      </c>
      <c r="AB68" t="e">
        <f>VLOOKUP($T$13,$Q$22:$BQ$62,11)</f>
        <v>#N/A</v>
      </c>
      <c r="AC68" t="e">
        <f>VLOOKUP($T$13,$Q$22:$BQ$62,12)</f>
        <v>#N/A</v>
      </c>
      <c r="AD68" t="e">
        <f>VLOOKUP($T$13,$Q$22:$BQ$62,13)</f>
        <v>#N/A</v>
      </c>
      <c r="AE68" t="e">
        <f>VLOOKUP($T$13,$Q$22:$BQ$62,14)</f>
        <v>#N/A</v>
      </c>
      <c r="AF68" t="e">
        <f>VLOOKUP($T$13,$Q$22:$BQ$62,15)</f>
        <v>#N/A</v>
      </c>
      <c r="AG68" t="e">
        <f>VLOOKUP($T$13,$Q$22:$BQ$62,16)</f>
        <v>#N/A</v>
      </c>
      <c r="AH68" t="e">
        <f>VLOOKUP($T$13,$Q$22:$BQ$62,17)</f>
        <v>#N/A</v>
      </c>
      <c r="AI68" t="e">
        <f>VLOOKUP($T$13,$Q$22:$BQ$62,18)</f>
        <v>#N/A</v>
      </c>
      <c r="AJ68" t="e">
        <f>VLOOKUP($T$13,$Q$22:$BQ$62,19)</f>
        <v>#N/A</v>
      </c>
      <c r="AK68" t="e">
        <f>VLOOKUP($T$13,$Q$22:$BQ$62,20)</f>
        <v>#N/A</v>
      </c>
      <c r="AL68" t="e">
        <f>VLOOKUP($T$13,$Q$22:$BQ$62,22)</f>
        <v>#N/A</v>
      </c>
      <c r="AM68" t="e">
        <f>VLOOKUP($T$13,$Q$22:$BQ$62,23)</f>
        <v>#N/A</v>
      </c>
      <c r="AN68" t="e">
        <f>VLOOKUP($T$13,$Q$22:$BQ$62,24)</f>
        <v>#N/A</v>
      </c>
      <c r="AO68" t="e">
        <f>VLOOKUP($T$13,$Q$22:$BQ$62,25)</f>
        <v>#N/A</v>
      </c>
      <c r="AP68" t="e">
        <f>VLOOKUP($T$13,$Q$22:$BQ$62,26)</f>
        <v>#N/A</v>
      </c>
      <c r="AQ68" t="e">
        <f>VLOOKUP($T$13,$Q$22:$BQ$62,27)</f>
        <v>#N/A</v>
      </c>
      <c r="AR68" t="e">
        <f>VLOOKUP($T$13,$Q$22:$BQ$62,28)</f>
        <v>#N/A</v>
      </c>
      <c r="AS68" t="e">
        <f>VLOOKUP($T$13,$Q$22:$BQ$62,29)</f>
        <v>#N/A</v>
      </c>
      <c r="AT68" t="e">
        <f>VLOOKUP($T$13,$Q$22:$BQ$62,30)</f>
        <v>#N/A</v>
      </c>
      <c r="AU68" t="e">
        <f>VLOOKUP($T$13,$Q$22:$BQ$62,31)</f>
        <v>#N/A</v>
      </c>
      <c r="AV68" t="e">
        <f>VLOOKUP($T$13,$Q$22:$BQ$62,32)</f>
        <v>#N/A</v>
      </c>
      <c r="AW68" t="e">
        <f>VLOOKUP($T$13,$Q$22:$BQ$62,33)</f>
        <v>#N/A</v>
      </c>
      <c r="AX68" t="e">
        <f>VLOOKUP($T$13,$Q$22:$BQ$62,34)</f>
        <v>#N/A</v>
      </c>
      <c r="AY68" t="e">
        <f>VLOOKUP($T$13,$Q$22:$BQ$62,35)</f>
        <v>#N/A</v>
      </c>
      <c r="AZ68" t="e">
        <f>VLOOKUP($T$13,$Q$22:$BQ$62,36)</f>
        <v>#N/A</v>
      </c>
      <c r="BA68" t="e">
        <f>VLOOKUP($T$13,$Q$22:$BQ$62,37)</f>
        <v>#N/A</v>
      </c>
      <c r="BB68" t="e">
        <f>VLOOKUP($T$13,$Q$22:$BQ$62,38)</f>
        <v>#N/A</v>
      </c>
      <c r="BC68" t="e">
        <f>VLOOKUP($T$13,$Q$22:$BQ$62,39)</f>
        <v>#N/A</v>
      </c>
      <c r="BD68" t="e">
        <f>VLOOKUP($T$13,$Q$22:$BQ$62,40)</f>
        <v>#N/A</v>
      </c>
      <c r="BE68" t="e">
        <f>VLOOKUP($T$13,$Q$22:$BQ$62,41)</f>
        <v>#N/A</v>
      </c>
      <c r="BF68" t="e">
        <f>VLOOKUP($T$13,$Q$22:$BQ$62,42)</f>
        <v>#N/A</v>
      </c>
      <c r="BG68" t="e">
        <f>VLOOKUP($T$13,$Q$22:$BQ$62,43)</f>
        <v>#N/A</v>
      </c>
      <c r="BH68" t="e">
        <f>VLOOKUP($T$13,$Q$22:$BQ$62,44)</f>
        <v>#N/A</v>
      </c>
      <c r="BI68" t="e">
        <f>VLOOKUP($T$13,$Q$22:$BQ$62,45)</f>
        <v>#N/A</v>
      </c>
      <c r="BJ68" t="e">
        <f>VLOOKUP($T$13,$Q$22:$BQ$62,46)</f>
        <v>#N/A</v>
      </c>
      <c r="BK68" t="e">
        <f>VLOOKUP($T$13,$Q$22:$BQ$62,47)</f>
        <v>#N/A</v>
      </c>
      <c r="BL68" t="e">
        <f>VLOOKUP($T$13,$Q$22:$BQ$62,48)</f>
        <v>#N/A</v>
      </c>
      <c r="BM68" t="e">
        <f>VLOOKUP($T$13,$Q$22:$BQ$62,49)</f>
        <v>#N/A</v>
      </c>
      <c r="BN68" t="e">
        <f>VLOOKUP($T$13,$Q$22:$BQ$62,50)</f>
        <v>#N/A</v>
      </c>
      <c r="BO68" t="e">
        <f>VLOOKUP($T$13,$Q$22:$BQ$62,51)</f>
        <v>#N/A</v>
      </c>
      <c r="BP68" t="e">
        <f>VLOOKUP($T$13,$Q$22:$BQ$62,52)</f>
        <v>#N/A</v>
      </c>
      <c r="BQ68" t="e">
        <f>VLOOKUP($T$13,$Q$22:$BQ$62,53)</f>
        <v>#N/A</v>
      </c>
    </row>
    <row r="70" spans="7:69">
      <c r="G70" s="26"/>
    </row>
    <row r="71" spans="7:69">
      <c r="G71" s="26"/>
    </row>
    <row r="130" spans="8:8" ht="95.25" customHeight="1"/>
    <row r="131" spans="8:8" ht="108" customHeight="1"/>
    <row r="132" spans="8:8" ht="57" customHeight="1"/>
    <row r="139" spans="8:8">
      <c r="H139" s="26"/>
    </row>
    <row r="140" spans="8:8">
      <c r="H140" s="26"/>
    </row>
  </sheetData>
  <sheetCalcPr fullCalcOnLoad="1"/>
  <sheetProtection sheet="1" objects="1" scenarios="1"/>
  <dataConsolidate/>
  <customSheetViews>
    <customSheetView guid="{21300D53-AFA3-488E-A98B-4772AFCC0BD2}" scale="150" showPageBreaks="1" printArea="1">
      <selection activeCell="D48" sqref="D48"/>
    </customSheetView>
    <customSheetView guid="{EA60625F-3B45-4C74-B661-51EFBE97F615}" scale="200" showPageBreaks="1" printArea="1" view="pageBreakPreview" topLeftCell="A5">
      <selection activeCell="C42" sqref="C42"/>
    </customSheetView>
  </customSheetViews>
  <mergeCells count="1">
    <mergeCell ref="B1:E1"/>
  </mergeCells>
  <phoneticPr fontId="1" type="noConversion"/>
  <conditionalFormatting sqref="E16">
    <cfRule type="expression" dxfId="75" priority="47">
      <formula>+C16=""</formula>
    </cfRule>
    <cfRule type="expression" dxfId="74" priority="90" stopIfTrue="1">
      <formula>C16&lt;0.7</formula>
    </cfRule>
    <cfRule type="expression" dxfId="73" priority="91" stopIfTrue="1">
      <formula>C16&gt;3</formula>
    </cfRule>
    <cfRule type="expression" dxfId="72" priority="92" stopIfTrue="1">
      <formula>OR(C16&gt;0.7,C16&lt;3)</formula>
    </cfRule>
  </conditionalFormatting>
  <conditionalFormatting sqref="E17">
    <cfRule type="expression" dxfId="71" priority="46" stopIfTrue="1">
      <formula>+C17=""</formula>
    </cfRule>
    <cfRule type="expression" dxfId="70" priority="87" stopIfTrue="1">
      <formula>C17&lt;450</formula>
    </cfRule>
    <cfRule type="expression" dxfId="69" priority="88" stopIfTrue="1">
      <formula>C17&gt;2000</formula>
    </cfRule>
    <cfRule type="expression" dxfId="68" priority="89" stopIfTrue="1">
      <formula>OR(C17&gt;450,C17&lt;2000)</formula>
    </cfRule>
  </conditionalFormatting>
  <conditionalFormatting sqref="E26">
    <cfRule type="expression" dxfId="67" priority="84" stopIfTrue="1">
      <formula>(R13="None")</formula>
    </cfRule>
    <cfRule type="expression" dxfId="66" priority="85" stopIfTrue="1">
      <formula>(R13="severe")</formula>
    </cfRule>
    <cfRule type="expression" dxfId="65" priority="86" stopIfTrue="1">
      <formula>(R13="Moderate")</formula>
    </cfRule>
  </conditionalFormatting>
  <conditionalFormatting sqref="E29">
    <cfRule type="expression" dxfId="64" priority="12">
      <formula>+C24=""</formula>
    </cfRule>
    <cfRule type="expression" dxfId="63" priority="45" stopIfTrue="1">
      <formula>+C29=""</formula>
    </cfRule>
    <cfRule type="expression" dxfId="62" priority="67" stopIfTrue="1">
      <formula>U5&lt;3</formula>
    </cfRule>
    <cfRule type="expression" dxfId="61" priority="68" stopIfTrue="1">
      <formula>U5&gt;=3</formula>
    </cfRule>
  </conditionalFormatting>
  <conditionalFormatting sqref="E27">
    <cfRule type="expression" dxfId="60" priority="5">
      <formula>+C36&lt;0.05</formula>
    </cfRule>
    <cfRule type="expression" dxfId="59" priority="118" stopIfTrue="1">
      <formula>(T14="None")</formula>
    </cfRule>
    <cfRule type="expression" dxfId="58" priority="119" stopIfTrue="1">
      <formula>(T14="severe")</formula>
    </cfRule>
    <cfRule type="expression" dxfId="57" priority="120" stopIfTrue="1">
      <formula>(T14="Moderate")</formula>
    </cfRule>
  </conditionalFormatting>
  <conditionalFormatting sqref="E30">
    <cfRule type="expression" dxfId="56" priority="44" stopIfTrue="1">
      <formula>+C30=""</formula>
    </cfRule>
    <cfRule type="expression" dxfId="55" priority="55" stopIfTrue="1">
      <formula>C27&lt;3</formula>
    </cfRule>
    <cfRule type="expression" dxfId="54" priority="56" stopIfTrue="1">
      <formula>C27&gt;9</formula>
    </cfRule>
    <cfRule type="expression" dxfId="53" priority="57" stopIfTrue="1">
      <formula>AND(C27&gt;=3,C27&lt;=9)</formula>
    </cfRule>
  </conditionalFormatting>
  <conditionalFormatting sqref="E14">
    <cfRule type="expression" dxfId="52" priority="48" stopIfTrue="1">
      <formula>+C14=""</formula>
    </cfRule>
    <cfRule type="expression" dxfId="51" priority="180" stopIfTrue="1">
      <formula>C14&lt;7</formula>
    </cfRule>
    <cfRule type="expression" dxfId="50" priority="181" stopIfTrue="1">
      <formula>$C14&gt;8</formula>
    </cfRule>
    <cfRule type="expression" dxfId="49" priority="182" stopIfTrue="1">
      <formula>OR(C$14&gt;7,C$14&lt;8)</formula>
    </cfRule>
  </conditionalFormatting>
  <conditionalFormatting sqref="E34">
    <cfRule type="expression" dxfId="48" priority="41" stopIfTrue="1">
      <formula>+C34=""</formula>
    </cfRule>
    <cfRule type="expression" dxfId="47" priority="184" stopIfTrue="1">
      <formula>C34&lt;0.7</formula>
    </cfRule>
    <cfRule type="expression" dxfId="46" priority="185" stopIfTrue="1">
      <formula>C34&gt;3</formula>
    </cfRule>
    <cfRule type="expression" dxfId="45" priority="186" stopIfTrue="1">
      <formula>AND(C34&gt;=0.7,C34&lt;=3)</formula>
    </cfRule>
  </conditionalFormatting>
  <conditionalFormatting sqref="E35">
    <cfRule type="expression" dxfId="44" priority="40" stopIfTrue="1">
      <formula>+C35=""</formula>
    </cfRule>
    <cfRule type="expression" dxfId="43" priority="192" stopIfTrue="1">
      <formula>IF(Y2=1,Y6&lt;1.5,C35&lt;1.5)</formula>
    </cfRule>
    <cfRule type="expression" dxfId="42" priority="193" stopIfTrue="1">
      <formula>IF(Y2=1,Y6&gt;8.5,C35&gt;8.5)</formula>
    </cfRule>
    <cfRule type="expression" dxfId="41" priority="194" stopIfTrue="1">
      <formula>IF(Y2=1,AND(Y6&gt;=1.5,Y6&lt;=8.5),AND(C35&gt;=1.5,C35&lt;=8.5))</formula>
    </cfRule>
  </conditionalFormatting>
  <conditionalFormatting sqref="E32">
    <cfRule type="expression" dxfId="40" priority="43" stopIfTrue="1">
      <formula>+C32=""</formula>
    </cfRule>
    <cfRule type="expression" dxfId="39" priority="199" stopIfTrue="1">
      <formula>IF(X2=1,X7&lt;4,C32&lt;4)</formula>
    </cfRule>
    <cfRule type="expression" dxfId="38" priority="200" stopIfTrue="1">
      <formula>IF(X2=1,X7&gt;10,C32&gt;10)</formula>
    </cfRule>
    <cfRule type="expression" dxfId="37" priority="201" stopIfTrue="1">
      <formula>IF(X2=1,OR(X7&gt;=4,X7&lt;=10),OR(C32&gt;=4,C32&lt;=10))</formula>
    </cfRule>
  </conditionalFormatting>
  <conditionalFormatting sqref="E33">
    <cfRule type="expression" dxfId="36" priority="42" stopIfTrue="1">
      <formula>+C32=""</formula>
    </cfRule>
    <cfRule type="expression" dxfId="35" priority="202" stopIfTrue="1">
      <formula>IF(X2=1,X7&lt;3,C32&lt;3)</formula>
    </cfRule>
    <cfRule type="expression" dxfId="34" priority="203" stopIfTrue="1">
      <formula>IF(X2=1,X7&gt;=3,C32&gt;=3)</formula>
    </cfRule>
  </conditionalFormatting>
  <conditionalFormatting sqref="E51">
    <cfRule type="expression" dxfId="33" priority="17">
      <formula>+C51=""</formula>
    </cfRule>
    <cfRule type="expression" dxfId="32" priority="37">
      <formula>+C51&lt;50</formula>
    </cfRule>
    <cfRule type="expression" dxfId="31" priority="38">
      <formula>+C51&gt;100</formula>
    </cfRule>
    <cfRule type="expression" dxfId="30" priority="39">
      <formula>+AND(C51&lt;=100,C51&gt;=50)</formula>
    </cfRule>
  </conditionalFormatting>
  <conditionalFormatting sqref="E52">
    <cfRule type="expression" dxfId="29" priority="16">
      <formula>+C52=""</formula>
    </cfRule>
    <cfRule type="expression" dxfId="28" priority="34">
      <formula>C52&gt;50</formula>
    </cfRule>
    <cfRule type="expression" dxfId="27" priority="35">
      <formula>C52&lt;10</formula>
    </cfRule>
    <cfRule type="expression" dxfId="26" priority="36">
      <formula>AND(C52&gt;=10,C52&lt;=50)</formula>
    </cfRule>
  </conditionalFormatting>
  <conditionalFormatting sqref="E53">
    <cfRule type="expression" dxfId="25" priority="15">
      <formula>+C53=""</formula>
    </cfRule>
    <cfRule type="expression" dxfId="24" priority="31">
      <formula>+C53&gt;2</formula>
    </cfRule>
    <cfRule type="expression" dxfId="23" priority="32">
      <formula>+C53&lt;0.2</formula>
    </cfRule>
    <cfRule type="expression" dxfId="22" priority="33">
      <formula>+AND(C53&gt;=0.2,C53&lt;=2)</formula>
    </cfRule>
  </conditionalFormatting>
  <conditionalFormatting sqref="E54">
    <cfRule type="expression" dxfId="21" priority="14">
      <formula>+C54=""</formula>
    </cfRule>
    <cfRule type="expression" dxfId="20" priority="28">
      <formula>+C54&gt;1.5</formula>
    </cfRule>
    <cfRule type="expression" dxfId="19" priority="29">
      <formula>+C54&lt;0.2</formula>
    </cfRule>
    <cfRule type="expression" dxfId="18" priority="30">
      <formula>+AND(C54&lt;=1.5,C54&gt;=0.2)</formula>
    </cfRule>
  </conditionalFormatting>
  <conditionalFormatting sqref="E55">
    <cfRule type="expression" dxfId="17" priority="13">
      <formula>+C55=""</formula>
    </cfRule>
    <cfRule type="expression" dxfId="16" priority="22">
      <formula>+C55&gt;1.5</formula>
    </cfRule>
    <cfRule type="expression" dxfId="15" priority="24">
      <formula>+IF(C53&gt;=0.1,C55&lt;0.1)</formula>
    </cfRule>
    <cfRule type="expression" dxfId="14" priority="25">
      <formula>+IF(C53&lt;0.1,C55&lt;0.2)</formula>
    </cfRule>
    <cfRule type="expression" dxfId="13" priority="26">
      <formula>+IF(C53&gt;=0.1,AND(C55&gt;0.1,C55&lt;1.5))</formula>
    </cfRule>
    <cfRule type="expression" dxfId="12" priority="27">
      <formula>+IF(C53&lt;0.1,AND(C55&gt;0.2,C55&lt;1.5))</formula>
    </cfRule>
  </conditionalFormatting>
  <conditionalFormatting sqref="E56">
    <cfRule type="expression" dxfId="11" priority="7">
      <formula>+C35=""</formula>
    </cfRule>
    <cfRule type="expression" dxfId="10" priority="18">
      <formula>+IF(C14&gt;=7.5,Y6&gt;2.5)</formula>
    </cfRule>
    <cfRule type="expression" dxfId="9" priority="19">
      <formula>+IF(C14&gt;=7.5,Y6&lt;1.5)</formula>
    </cfRule>
    <cfRule type="expression" dxfId="8" priority="20">
      <formula>C14&lt;7.5</formula>
    </cfRule>
    <cfRule type="expression" dxfId="7" priority="21">
      <formula>+IF(C14&gt;=7.5,AND(Y6&gt;=1.5,Y6&lt;2.5))</formula>
    </cfRule>
  </conditionalFormatting>
  <conditionalFormatting sqref="E38:E39">
    <cfRule type="expression" dxfId="6" priority="11">
      <formula>+C38=""</formula>
    </cfRule>
  </conditionalFormatting>
  <conditionalFormatting sqref="E40">
    <cfRule type="expression" dxfId="5" priority="9">
      <formula>+C40=""</formula>
    </cfRule>
  </conditionalFormatting>
  <conditionalFormatting sqref="E41">
    <cfRule type="expression" dxfId="4" priority="8">
      <formula>+C41=""</formula>
    </cfRule>
  </conditionalFormatting>
  <conditionalFormatting sqref="E22">
    <cfRule type="expression" dxfId="3" priority="4">
      <formula>+C22=""</formula>
    </cfRule>
  </conditionalFormatting>
  <conditionalFormatting sqref="E23">
    <cfRule type="expression" dxfId="2" priority="3">
      <formula>+C23=""</formula>
    </cfRule>
  </conditionalFormatting>
  <conditionalFormatting sqref="E24">
    <cfRule type="expression" dxfId="1" priority="2">
      <formula>+C24=""</formula>
    </cfRule>
  </conditionalFormatting>
  <conditionalFormatting sqref="C36">
    <cfRule type="expression" dxfId="0" priority="1">
      <formula>+C36=0</formula>
    </cfRule>
  </conditionalFormatting>
  <hyperlinks>
    <hyperlink ref="D4" r:id="rId1"/>
  </hyperlinks>
  <pageMargins left="0.7" right="0.7" top="0.75" bottom="0.75" header="0.3" footer="0.3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1:AS33"/>
  <sheetViews>
    <sheetView workbookViewId="0">
      <selection activeCell="S1" sqref="S1"/>
    </sheetView>
  </sheetViews>
  <sheetFormatPr baseColWidth="10" defaultColWidth="7.5703125" defaultRowHeight="13"/>
  <sheetData>
    <row r="1" spans="1:45">
      <c r="A1" s="2" t="s">
        <v>505</v>
      </c>
      <c r="B1" s="2">
        <v>0.1</v>
      </c>
      <c r="C1" s="2">
        <v>0.2</v>
      </c>
      <c r="D1" s="2">
        <v>0.3</v>
      </c>
      <c r="E1" s="2">
        <v>0.5</v>
      </c>
      <c r="F1" s="2">
        <v>0.7</v>
      </c>
      <c r="G1" s="2">
        <v>1</v>
      </c>
      <c r="H1" s="2">
        <v>1.5</v>
      </c>
      <c r="I1" s="2">
        <v>2</v>
      </c>
      <c r="J1" s="2">
        <v>3</v>
      </c>
      <c r="K1" s="2">
        <v>4</v>
      </c>
      <c r="L1" s="2">
        <v>6</v>
      </c>
      <c r="M1" s="2">
        <v>8</v>
      </c>
      <c r="S1" t="s">
        <v>505</v>
      </c>
    </row>
    <row r="2" spans="1:45">
      <c r="A2" s="2">
        <v>0.05</v>
      </c>
      <c r="B2" s="2">
        <v>13.2</v>
      </c>
      <c r="C2" s="2">
        <v>13.61</v>
      </c>
      <c r="D2" s="2">
        <v>13.92</v>
      </c>
      <c r="E2" s="2">
        <v>14.4</v>
      </c>
      <c r="F2" s="2">
        <v>14.79</v>
      </c>
      <c r="G2" s="2">
        <v>15.26</v>
      </c>
      <c r="H2" s="2">
        <v>15.91</v>
      </c>
      <c r="I2" s="2">
        <v>16.43</v>
      </c>
      <c r="J2" s="2">
        <v>17.28</v>
      </c>
      <c r="K2" s="2">
        <v>17.97</v>
      </c>
      <c r="L2" s="2">
        <v>19.07</v>
      </c>
      <c r="M2" s="2">
        <v>19.940000000000001</v>
      </c>
      <c r="R2" s="27" t="s">
        <v>421</v>
      </c>
      <c r="S2">
        <v>0.05</v>
      </c>
      <c r="T2">
        <v>0.1</v>
      </c>
      <c r="U2">
        <v>0.15</v>
      </c>
      <c r="V2">
        <v>0.2</v>
      </c>
      <c r="W2">
        <v>0.25</v>
      </c>
      <c r="X2">
        <v>0.3</v>
      </c>
      <c r="Y2">
        <v>0.35</v>
      </c>
      <c r="Z2">
        <v>0.4</v>
      </c>
      <c r="AA2">
        <v>0.45</v>
      </c>
      <c r="AB2">
        <v>0.5</v>
      </c>
      <c r="AC2">
        <v>0.75</v>
      </c>
      <c r="AD2">
        <v>1</v>
      </c>
      <c r="AE2">
        <v>1.25</v>
      </c>
      <c r="AF2">
        <v>1.5</v>
      </c>
      <c r="AG2">
        <v>1.75</v>
      </c>
      <c r="AH2">
        <v>2</v>
      </c>
      <c r="AI2">
        <v>2.25</v>
      </c>
      <c r="AJ2">
        <v>2.5</v>
      </c>
      <c r="AK2">
        <v>3</v>
      </c>
      <c r="AL2">
        <v>3.5</v>
      </c>
      <c r="AM2">
        <v>4</v>
      </c>
      <c r="AN2">
        <v>4.5</v>
      </c>
      <c r="AO2">
        <v>5</v>
      </c>
      <c r="AP2">
        <v>7</v>
      </c>
      <c r="AQ2">
        <v>10</v>
      </c>
      <c r="AR2">
        <v>20</v>
      </c>
      <c r="AS2">
        <v>30</v>
      </c>
    </row>
    <row r="3" spans="1:45">
      <c r="A3" s="2">
        <v>0.1</v>
      </c>
      <c r="B3" s="2">
        <v>8.31</v>
      </c>
      <c r="C3" s="2">
        <v>8.57</v>
      </c>
      <c r="D3" s="2">
        <v>8.77</v>
      </c>
      <c r="E3" s="2">
        <v>9.07</v>
      </c>
      <c r="F3" s="2">
        <v>9.31</v>
      </c>
      <c r="G3" s="2">
        <v>9.6199999999999992</v>
      </c>
      <c r="H3" s="2">
        <v>10.02</v>
      </c>
      <c r="I3" s="2">
        <v>10.35</v>
      </c>
      <c r="J3" s="2">
        <v>10.89</v>
      </c>
      <c r="K3" s="2">
        <v>11.32</v>
      </c>
      <c r="L3" s="2">
        <v>12.01</v>
      </c>
      <c r="M3" s="2">
        <v>12.56</v>
      </c>
      <c r="R3" s="11">
        <v>0.1</v>
      </c>
      <c r="S3" s="11">
        <v>13.2</v>
      </c>
      <c r="T3" s="11">
        <v>8.31</v>
      </c>
      <c r="U3" s="11">
        <v>6.34</v>
      </c>
      <c r="V3" s="11">
        <v>5.24</v>
      </c>
      <c r="W3" s="11">
        <v>4.51</v>
      </c>
      <c r="X3" s="11">
        <v>4</v>
      </c>
      <c r="Y3" s="11">
        <v>3.61</v>
      </c>
      <c r="Z3" s="11">
        <v>3.3</v>
      </c>
      <c r="AA3" s="11">
        <v>3.05</v>
      </c>
      <c r="AB3" s="11">
        <v>2.84</v>
      </c>
      <c r="AC3" s="11">
        <v>2.17</v>
      </c>
      <c r="AD3" s="11">
        <v>1.79</v>
      </c>
      <c r="AE3" s="11">
        <v>1.54</v>
      </c>
      <c r="AF3" s="11">
        <v>1.37</v>
      </c>
      <c r="AG3" s="11">
        <v>1.23</v>
      </c>
      <c r="AH3" s="11">
        <v>1.1299999999999999</v>
      </c>
      <c r="AI3" s="11">
        <v>1.04</v>
      </c>
      <c r="AJ3" s="11">
        <v>0.97</v>
      </c>
      <c r="AK3" s="11">
        <v>0.85</v>
      </c>
      <c r="AL3" s="11">
        <v>0.78</v>
      </c>
      <c r="AM3" s="11">
        <v>0.71</v>
      </c>
      <c r="AN3" s="11">
        <v>0.66</v>
      </c>
      <c r="AO3" s="11">
        <v>0.61</v>
      </c>
      <c r="AP3" s="11">
        <v>0.49</v>
      </c>
      <c r="AQ3" s="11">
        <v>0.39</v>
      </c>
      <c r="AR3" s="11">
        <v>0.24</v>
      </c>
      <c r="AS3" s="11">
        <v>0.18</v>
      </c>
    </row>
    <row r="4" spans="1:45">
      <c r="A4" s="2">
        <v>0.15</v>
      </c>
      <c r="B4" s="2">
        <v>6.34</v>
      </c>
      <c r="C4" s="2">
        <v>6.54</v>
      </c>
      <c r="D4" s="2">
        <v>6.69</v>
      </c>
      <c r="E4" s="2">
        <v>6.92</v>
      </c>
      <c r="F4" s="2">
        <v>7.11</v>
      </c>
      <c r="G4" s="2">
        <v>7.34</v>
      </c>
      <c r="H4" s="2">
        <v>7.65</v>
      </c>
      <c r="I4" s="2">
        <v>7.9</v>
      </c>
      <c r="J4" s="2">
        <v>8.31</v>
      </c>
      <c r="K4" s="2">
        <v>8.64</v>
      </c>
      <c r="L4" s="2">
        <v>9.17</v>
      </c>
      <c r="M4" s="2">
        <v>9.58</v>
      </c>
      <c r="R4" s="11">
        <v>0.2</v>
      </c>
      <c r="S4" s="11">
        <v>13.61</v>
      </c>
      <c r="T4" s="11">
        <v>8.57</v>
      </c>
      <c r="U4" s="11">
        <v>6.54</v>
      </c>
      <c r="V4" s="11">
        <v>5.4</v>
      </c>
      <c r="W4" s="11">
        <v>4.6500000000000004</v>
      </c>
      <c r="X4" s="11">
        <v>4.12</v>
      </c>
      <c r="Y4" s="11">
        <v>3.72</v>
      </c>
      <c r="Z4" s="11">
        <v>3.4</v>
      </c>
      <c r="AA4" s="11">
        <v>3.14</v>
      </c>
      <c r="AB4" s="11">
        <v>2.93</v>
      </c>
      <c r="AC4" s="11">
        <v>2.2400000000000002</v>
      </c>
      <c r="AD4" s="11">
        <v>1.85</v>
      </c>
      <c r="AE4" s="11">
        <v>1.59</v>
      </c>
      <c r="AF4" s="11">
        <v>1.41</v>
      </c>
      <c r="AG4" s="11">
        <v>1.27</v>
      </c>
      <c r="AH4" s="11">
        <v>1.1599999999999999</v>
      </c>
      <c r="AI4" s="11">
        <v>1.08</v>
      </c>
      <c r="AJ4" s="11">
        <v>1</v>
      </c>
      <c r="AK4" s="11">
        <v>0.89</v>
      </c>
      <c r="AL4" s="11">
        <v>0.8</v>
      </c>
      <c r="AM4" s="11">
        <v>0.73</v>
      </c>
      <c r="AN4" s="11">
        <v>0.68</v>
      </c>
      <c r="AO4" s="11">
        <v>0.63</v>
      </c>
      <c r="AP4" s="11">
        <v>0.5</v>
      </c>
      <c r="AQ4" s="11">
        <v>0.4</v>
      </c>
      <c r="AR4" s="11">
        <v>0.25</v>
      </c>
      <c r="AS4" s="11">
        <v>0.19</v>
      </c>
    </row>
    <row r="5" spans="1:45">
      <c r="A5" s="2">
        <v>0.2</v>
      </c>
      <c r="B5" s="2">
        <v>5.24</v>
      </c>
      <c r="C5" s="2">
        <v>5.4</v>
      </c>
      <c r="D5" s="2">
        <v>5.52</v>
      </c>
      <c r="E5" s="2">
        <v>5.71</v>
      </c>
      <c r="F5" s="2">
        <v>5.87</v>
      </c>
      <c r="G5" s="2">
        <v>6.06</v>
      </c>
      <c r="H5" s="2">
        <v>6.31</v>
      </c>
      <c r="I5" s="2">
        <v>6.52</v>
      </c>
      <c r="J5" s="2">
        <v>6.86</v>
      </c>
      <c r="K5" s="2">
        <v>7.13</v>
      </c>
      <c r="L5" s="2">
        <v>7.57</v>
      </c>
      <c r="M5" s="2">
        <v>7.91</v>
      </c>
      <c r="R5" s="11">
        <v>0.3</v>
      </c>
      <c r="S5" s="11">
        <v>13.92</v>
      </c>
      <c r="T5" s="11">
        <v>8.77</v>
      </c>
      <c r="U5" s="11">
        <v>6.69</v>
      </c>
      <c r="V5" s="11">
        <v>5.52</v>
      </c>
      <c r="W5" s="11">
        <v>4.76</v>
      </c>
      <c r="X5" s="11">
        <v>4.21</v>
      </c>
      <c r="Y5" s="11">
        <v>3.8</v>
      </c>
      <c r="Z5" s="11">
        <v>3.48</v>
      </c>
      <c r="AA5" s="11">
        <v>3.22</v>
      </c>
      <c r="AB5" s="11">
        <v>3</v>
      </c>
      <c r="AC5" s="11">
        <v>2.29</v>
      </c>
      <c r="AD5" s="11">
        <v>1.89</v>
      </c>
      <c r="AE5" s="11">
        <v>1.63</v>
      </c>
      <c r="AF5" s="11">
        <v>1.44</v>
      </c>
      <c r="AG5" s="11">
        <v>1.3</v>
      </c>
      <c r="AH5" s="11">
        <v>1.19</v>
      </c>
      <c r="AI5" s="11">
        <v>1.1000000000000001</v>
      </c>
      <c r="AJ5" s="11">
        <v>1.02</v>
      </c>
      <c r="AK5" s="11">
        <v>0.91</v>
      </c>
      <c r="AL5" s="11">
        <v>0.82</v>
      </c>
      <c r="AM5" s="11">
        <v>0.75</v>
      </c>
      <c r="AN5" s="11">
        <v>0.69</v>
      </c>
      <c r="AO5" s="11">
        <v>0.65</v>
      </c>
      <c r="AP5" s="11">
        <v>0.52</v>
      </c>
      <c r="AQ5" s="11">
        <v>0.41</v>
      </c>
      <c r="AR5" s="11">
        <v>0.26</v>
      </c>
      <c r="AS5" s="11">
        <v>0.2</v>
      </c>
    </row>
    <row r="6" spans="1:45">
      <c r="A6" s="2">
        <v>0.25</v>
      </c>
      <c r="B6" s="2">
        <v>4.51</v>
      </c>
      <c r="C6" s="2">
        <v>4.6500000000000004</v>
      </c>
      <c r="D6" s="2">
        <v>4.76</v>
      </c>
      <c r="E6" s="2">
        <v>4.92</v>
      </c>
      <c r="F6" s="2">
        <v>5.0599999999999996</v>
      </c>
      <c r="G6" s="2">
        <v>5.22</v>
      </c>
      <c r="H6" s="2">
        <v>5.44</v>
      </c>
      <c r="I6" s="2">
        <v>5.62</v>
      </c>
      <c r="J6" s="2">
        <v>5.91</v>
      </c>
      <c r="K6" s="2">
        <v>6.15</v>
      </c>
      <c r="L6" s="2">
        <v>6.52</v>
      </c>
      <c r="M6" s="2">
        <v>6.82</v>
      </c>
      <c r="R6" s="11">
        <v>0.5</v>
      </c>
      <c r="S6" s="11">
        <v>14.4</v>
      </c>
      <c r="T6" s="11">
        <v>9.07</v>
      </c>
      <c r="U6" s="11">
        <v>6.92</v>
      </c>
      <c r="V6" s="11">
        <v>5.71</v>
      </c>
      <c r="W6" s="11">
        <v>4.92</v>
      </c>
      <c r="X6" s="11">
        <v>4.3600000000000003</v>
      </c>
      <c r="Y6" s="11">
        <v>3.94</v>
      </c>
      <c r="Z6" s="11">
        <v>3.6</v>
      </c>
      <c r="AA6" s="11">
        <v>3.33</v>
      </c>
      <c r="AB6" s="11">
        <v>3.1</v>
      </c>
      <c r="AC6" s="11">
        <v>2.37</v>
      </c>
      <c r="AD6" s="11">
        <v>1.96</v>
      </c>
      <c r="AE6" s="11">
        <v>1.68</v>
      </c>
      <c r="AF6" s="11">
        <v>1.49</v>
      </c>
      <c r="AG6" s="11">
        <v>1.35</v>
      </c>
      <c r="AH6" s="11">
        <v>1.23</v>
      </c>
      <c r="AI6" s="11">
        <v>1.1399999999999999</v>
      </c>
      <c r="AJ6" s="11">
        <v>1.06</v>
      </c>
      <c r="AK6" s="11">
        <v>0.94</v>
      </c>
      <c r="AL6" s="11">
        <v>0.85</v>
      </c>
      <c r="AM6" s="11">
        <v>0.78</v>
      </c>
      <c r="AN6" s="11">
        <v>0.72</v>
      </c>
      <c r="AO6" s="11">
        <v>0.67</v>
      </c>
      <c r="AP6" s="11">
        <v>0.53</v>
      </c>
      <c r="AQ6" s="11">
        <v>0.42</v>
      </c>
      <c r="AR6" s="11">
        <v>0.26</v>
      </c>
      <c r="AS6" s="11">
        <v>0.2</v>
      </c>
    </row>
    <row r="7" spans="1:45">
      <c r="A7" s="2">
        <v>0.3</v>
      </c>
      <c r="B7" s="2">
        <v>4</v>
      </c>
      <c r="C7" s="2">
        <v>4.12</v>
      </c>
      <c r="D7" s="2">
        <v>4.21</v>
      </c>
      <c r="E7" s="2">
        <v>4.3600000000000003</v>
      </c>
      <c r="F7" s="2">
        <v>4.4800000000000004</v>
      </c>
      <c r="G7" s="2">
        <v>4.62</v>
      </c>
      <c r="H7" s="2">
        <v>4.82</v>
      </c>
      <c r="I7" s="2">
        <v>4.9800000000000004</v>
      </c>
      <c r="J7" s="2">
        <v>5.24</v>
      </c>
      <c r="K7" s="2">
        <v>5.44</v>
      </c>
      <c r="L7" s="2">
        <v>5.77</v>
      </c>
      <c r="M7" s="2">
        <v>6.04</v>
      </c>
      <c r="R7" s="11">
        <v>0.7</v>
      </c>
      <c r="S7" s="11">
        <v>14.79</v>
      </c>
      <c r="T7" s="11">
        <v>9.31</v>
      </c>
      <c r="U7" s="11">
        <v>7.11</v>
      </c>
      <c r="V7" s="11">
        <v>5.87</v>
      </c>
      <c r="W7" s="11">
        <v>5.0599999999999996</v>
      </c>
      <c r="X7" s="11">
        <v>4.4800000000000004</v>
      </c>
      <c r="Y7" s="11">
        <v>4.04</v>
      </c>
      <c r="Z7" s="11">
        <v>3.7</v>
      </c>
      <c r="AA7" s="11">
        <v>3.42</v>
      </c>
      <c r="AB7" s="11">
        <v>3.19</v>
      </c>
      <c r="AC7" s="11">
        <v>2.4300000000000002</v>
      </c>
      <c r="AD7" s="11">
        <v>2.0099999999999998</v>
      </c>
      <c r="AE7" s="11">
        <v>1.73</v>
      </c>
      <c r="AF7" s="11">
        <v>1.53</v>
      </c>
      <c r="AG7" s="11">
        <v>1.38</v>
      </c>
      <c r="AH7" s="11">
        <v>1.26</v>
      </c>
      <c r="AI7" s="11">
        <v>1.17</v>
      </c>
      <c r="AJ7" s="11">
        <v>1.0900000000000001</v>
      </c>
      <c r="AK7" s="11">
        <v>0.96</v>
      </c>
      <c r="AL7" s="11">
        <v>0.87</v>
      </c>
      <c r="AM7" s="11">
        <v>0.8</v>
      </c>
      <c r="AN7" s="11">
        <v>0.74</v>
      </c>
      <c r="AO7" s="11">
        <v>0.69</v>
      </c>
      <c r="AP7" s="11">
        <v>0.55000000000000004</v>
      </c>
      <c r="AQ7" s="11">
        <v>0.43</v>
      </c>
      <c r="AR7" s="11">
        <v>0.27</v>
      </c>
      <c r="AS7" s="11">
        <v>0.21</v>
      </c>
    </row>
    <row r="8" spans="1:45">
      <c r="A8" s="2">
        <v>0.35</v>
      </c>
      <c r="B8" s="2">
        <v>3.61</v>
      </c>
      <c r="C8" s="2">
        <v>3.72</v>
      </c>
      <c r="D8" s="2">
        <v>3.8</v>
      </c>
      <c r="E8" s="2">
        <v>3.94</v>
      </c>
      <c r="F8" s="2">
        <v>4.04</v>
      </c>
      <c r="G8" s="2">
        <v>4.17</v>
      </c>
      <c r="H8" s="2">
        <v>4.3499999999999996</v>
      </c>
      <c r="I8" s="2">
        <v>4.49</v>
      </c>
      <c r="J8" s="2">
        <v>4.72</v>
      </c>
      <c r="K8" s="2">
        <v>4.91</v>
      </c>
      <c r="L8" s="2">
        <v>5.21</v>
      </c>
      <c r="M8" s="2">
        <v>5.45</v>
      </c>
      <c r="R8" s="11">
        <v>1</v>
      </c>
      <c r="S8" s="11">
        <v>15.26</v>
      </c>
      <c r="T8" s="11">
        <v>9.6199999999999992</v>
      </c>
      <c r="U8" s="11">
        <v>7.34</v>
      </c>
      <c r="V8" s="11">
        <v>6.06</v>
      </c>
      <c r="W8" s="11">
        <v>5.22</v>
      </c>
      <c r="X8" s="11">
        <v>4.62</v>
      </c>
      <c r="Y8" s="11">
        <v>4.17</v>
      </c>
      <c r="Z8" s="11">
        <v>3.82</v>
      </c>
      <c r="AA8" s="11">
        <v>3.53</v>
      </c>
      <c r="AB8" s="11">
        <v>3.29</v>
      </c>
      <c r="AC8" s="11">
        <v>2.5099999999999998</v>
      </c>
      <c r="AD8" s="11">
        <v>2.09</v>
      </c>
      <c r="AE8" s="11">
        <v>1.78</v>
      </c>
      <c r="AF8" s="11">
        <v>1.58</v>
      </c>
      <c r="AG8" s="11">
        <v>1.43</v>
      </c>
      <c r="AH8" s="11">
        <v>1.31</v>
      </c>
      <c r="AI8" s="11">
        <v>1.21</v>
      </c>
      <c r="AJ8" s="11">
        <v>1.1200000000000001</v>
      </c>
      <c r="AK8" s="11">
        <v>1</v>
      </c>
      <c r="AL8" s="11">
        <v>0.9</v>
      </c>
      <c r="AM8" s="11">
        <v>0.82</v>
      </c>
      <c r="AN8" s="11">
        <v>0.76</v>
      </c>
      <c r="AO8" s="11">
        <v>0.71</v>
      </c>
      <c r="AP8" s="11">
        <v>0.56999999999999995</v>
      </c>
      <c r="AQ8" s="11">
        <v>0.45</v>
      </c>
      <c r="AR8" s="11">
        <v>0.28000000000000003</v>
      </c>
      <c r="AS8" s="11">
        <v>0.21</v>
      </c>
    </row>
    <row r="9" spans="1:45">
      <c r="A9" s="2">
        <v>0.4</v>
      </c>
      <c r="B9" s="2">
        <v>3.3</v>
      </c>
      <c r="C9" s="2">
        <v>3.4</v>
      </c>
      <c r="D9" s="2">
        <v>3.48</v>
      </c>
      <c r="E9" s="2">
        <v>3.6</v>
      </c>
      <c r="F9" s="2">
        <v>3.7</v>
      </c>
      <c r="G9" s="2">
        <v>3.82</v>
      </c>
      <c r="H9" s="2">
        <v>3.98</v>
      </c>
      <c r="I9" s="2">
        <v>4.1100000000000003</v>
      </c>
      <c r="J9" s="2">
        <v>4.32</v>
      </c>
      <c r="K9" s="2">
        <v>4.49</v>
      </c>
      <c r="L9" s="2">
        <v>4.7699999999999996</v>
      </c>
      <c r="M9" s="2">
        <v>4.9800000000000004</v>
      </c>
      <c r="R9" s="11">
        <v>1.5</v>
      </c>
      <c r="S9" s="11">
        <v>15.91</v>
      </c>
      <c r="T9" s="11">
        <v>10.02</v>
      </c>
      <c r="U9" s="11">
        <v>7.65</v>
      </c>
      <c r="V9" s="11">
        <v>6.31</v>
      </c>
      <c r="W9" s="11">
        <v>5.44</v>
      </c>
      <c r="X9" s="11">
        <v>4.82</v>
      </c>
      <c r="Y9" s="11">
        <v>4.3499999999999996</v>
      </c>
      <c r="Z9" s="11">
        <v>3.98</v>
      </c>
      <c r="AA9" s="11">
        <v>3.68</v>
      </c>
      <c r="AB9" s="11">
        <v>3.43</v>
      </c>
      <c r="AC9" s="11">
        <v>2.62</v>
      </c>
      <c r="AD9" s="11">
        <v>2.16</v>
      </c>
      <c r="AE9" s="11">
        <v>1.86</v>
      </c>
      <c r="AF9" s="11">
        <v>1.65</v>
      </c>
      <c r="AG9" s="11">
        <v>1.49</v>
      </c>
      <c r="AH9" s="11">
        <v>1.36</v>
      </c>
      <c r="AI9" s="11">
        <v>1.26</v>
      </c>
      <c r="AJ9" s="11">
        <v>1.17</v>
      </c>
      <c r="AK9" s="11">
        <v>1.04</v>
      </c>
      <c r="AL9" s="11">
        <v>0.94</v>
      </c>
      <c r="AM9" s="11">
        <v>0.86</v>
      </c>
      <c r="AN9" s="11">
        <v>0.79</v>
      </c>
      <c r="AO9" s="11">
        <v>0.74</v>
      </c>
      <c r="AP9" s="11">
        <v>0.59</v>
      </c>
      <c r="AQ9" s="11">
        <v>0.47</v>
      </c>
      <c r="AR9" s="11">
        <v>0.28999999999999998</v>
      </c>
      <c r="AS9" s="11">
        <v>0.22</v>
      </c>
    </row>
    <row r="10" spans="1:45">
      <c r="A10" s="2">
        <v>0.45</v>
      </c>
      <c r="B10" s="2">
        <v>3.05</v>
      </c>
      <c r="C10" s="2">
        <v>3.14</v>
      </c>
      <c r="D10" s="2">
        <v>3.22</v>
      </c>
      <c r="E10" s="2">
        <v>3.33</v>
      </c>
      <c r="F10" s="2">
        <v>3.42</v>
      </c>
      <c r="G10" s="2">
        <v>3.53</v>
      </c>
      <c r="H10" s="2">
        <v>3.68</v>
      </c>
      <c r="I10" s="2">
        <v>3.8</v>
      </c>
      <c r="J10" s="2">
        <v>4</v>
      </c>
      <c r="K10" s="2">
        <v>4.1500000000000004</v>
      </c>
      <c r="L10" s="2">
        <v>4.41</v>
      </c>
      <c r="M10" s="2">
        <v>4.6100000000000003</v>
      </c>
      <c r="R10" s="11">
        <v>2</v>
      </c>
      <c r="S10" s="11">
        <v>16.43</v>
      </c>
      <c r="T10" s="11">
        <v>10.35</v>
      </c>
      <c r="U10" s="11">
        <v>7.9</v>
      </c>
      <c r="V10" s="11">
        <v>6.52</v>
      </c>
      <c r="W10" s="11">
        <v>5.62</v>
      </c>
      <c r="X10" s="11">
        <v>4.9800000000000004</v>
      </c>
      <c r="Y10" s="11">
        <v>4.49</v>
      </c>
      <c r="Z10" s="11">
        <v>4.1100000000000003</v>
      </c>
      <c r="AA10" s="11">
        <v>3.8</v>
      </c>
      <c r="AB10" s="11">
        <v>3.54</v>
      </c>
      <c r="AC10" s="11">
        <v>2.7</v>
      </c>
      <c r="AD10" s="11">
        <v>2.23</v>
      </c>
      <c r="AE10" s="11">
        <v>1.92</v>
      </c>
      <c r="AF10" s="11">
        <v>1.7</v>
      </c>
      <c r="AG10" s="11">
        <v>1.54</v>
      </c>
      <c r="AH10" s="11">
        <v>1.4</v>
      </c>
      <c r="AI10" s="11">
        <v>1.3</v>
      </c>
      <c r="AJ10" s="11">
        <v>1.21</v>
      </c>
      <c r="AK10" s="11">
        <v>1.07</v>
      </c>
      <c r="AL10" s="11">
        <v>0.97</v>
      </c>
      <c r="AM10" s="11">
        <v>0.88</v>
      </c>
      <c r="AN10" s="11">
        <v>0.82</v>
      </c>
      <c r="AO10" s="11">
        <v>0.76</v>
      </c>
      <c r="AP10" s="11">
        <v>0.61</v>
      </c>
      <c r="AQ10" s="11">
        <v>0.48</v>
      </c>
      <c r="AR10" s="11">
        <v>0.3</v>
      </c>
      <c r="AS10" s="11">
        <v>0.23</v>
      </c>
    </row>
    <row r="11" spans="1:45">
      <c r="A11" s="2">
        <v>0.5</v>
      </c>
      <c r="B11" s="2">
        <v>2.84</v>
      </c>
      <c r="C11" s="2">
        <v>2.93</v>
      </c>
      <c r="D11" s="2">
        <v>3</v>
      </c>
      <c r="E11" s="2">
        <v>3.1</v>
      </c>
      <c r="F11" s="2">
        <v>3.19</v>
      </c>
      <c r="G11" s="2">
        <v>3.29</v>
      </c>
      <c r="H11" s="2">
        <v>3.43</v>
      </c>
      <c r="I11" s="2">
        <v>3.54</v>
      </c>
      <c r="J11" s="2">
        <v>3.72</v>
      </c>
      <c r="K11" s="2">
        <v>3.87</v>
      </c>
      <c r="L11" s="2">
        <v>4.1100000000000003</v>
      </c>
      <c r="M11" s="2">
        <v>4.3</v>
      </c>
      <c r="R11" s="11">
        <v>3</v>
      </c>
      <c r="S11" s="11">
        <v>17.28</v>
      </c>
      <c r="T11" s="11">
        <v>10.89</v>
      </c>
      <c r="U11" s="11">
        <v>8.31</v>
      </c>
      <c r="V11" s="11">
        <v>6.86</v>
      </c>
      <c r="W11" s="11">
        <v>5.91</v>
      </c>
      <c r="X11" s="11">
        <v>5.24</v>
      </c>
      <c r="Y11" s="11">
        <v>4.72</v>
      </c>
      <c r="Z11" s="11">
        <v>4.32</v>
      </c>
      <c r="AA11" s="11">
        <v>4</v>
      </c>
      <c r="AB11" s="11">
        <v>3.72</v>
      </c>
      <c r="AC11" s="11">
        <v>2.84</v>
      </c>
      <c r="AD11" s="11">
        <v>2.35</v>
      </c>
      <c r="AE11" s="11">
        <v>2.02</v>
      </c>
      <c r="AF11" s="11">
        <v>1.79</v>
      </c>
      <c r="AG11" s="11">
        <v>1.62</v>
      </c>
      <c r="AH11" s="11">
        <v>1.48</v>
      </c>
      <c r="AI11" s="11">
        <v>1.37</v>
      </c>
      <c r="AJ11" s="11">
        <v>1.27</v>
      </c>
      <c r="AK11" s="11">
        <v>1.1299999999999999</v>
      </c>
      <c r="AL11" s="11">
        <v>1.02</v>
      </c>
      <c r="AM11" s="11">
        <v>0.93</v>
      </c>
      <c r="AN11" s="11">
        <v>0.86</v>
      </c>
      <c r="AO11" s="11">
        <v>0.8</v>
      </c>
      <c r="AP11" s="11">
        <v>0.64</v>
      </c>
      <c r="AQ11" s="11">
        <v>0.51</v>
      </c>
      <c r="AR11" s="11">
        <v>0.32</v>
      </c>
      <c r="AS11" s="11">
        <v>0.24</v>
      </c>
    </row>
    <row r="12" spans="1:45">
      <c r="A12" s="2">
        <v>0.75</v>
      </c>
      <c r="B12" s="2">
        <v>2.17</v>
      </c>
      <c r="C12" s="2">
        <v>2.2400000000000002</v>
      </c>
      <c r="D12" s="2">
        <v>2.29</v>
      </c>
      <c r="E12" s="2">
        <v>2.37</v>
      </c>
      <c r="F12" s="2">
        <v>2.4300000000000002</v>
      </c>
      <c r="G12" s="2">
        <v>2.5099999999999998</v>
      </c>
      <c r="H12" s="2">
        <v>2.62</v>
      </c>
      <c r="I12" s="2">
        <v>2.7</v>
      </c>
      <c r="J12" s="2">
        <v>2.84</v>
      </c>
      <c r="K12" s="2">
        <v>2.95</v>
      </c>
      <c r="L12" s="2">
        <v>3.14</v>
      </c>
      <c r="M12" s="2">
        <v>3.28</v>
      </c>
      <c r="R12" s="11">
        <v>4</v>
      </c>
      <c r="S12" s="11">
        <v>17.97</v>
      </c>
      <c r="T12" s="11">
        <v>11.32</v>
      </c>
      <c r="U12" s="11">
        <v>8.64</v>
      </c>
      <c r="V12" s="11">
        <v>7.13</v>
      </c>
      <c r="W12" s="11">
        <v>6.15</v>
      </c>
      <c r="X12" s="11">
        <v>5.44</v>
      </c>
      <c r="Y12" s="11">
        <v>4.91</v>
      </c>
      <c r="Z12" s="11">
        <v>4.49</v>
      </c>
      <c r="AA12" s="11">
        <v>4.1500000000000004</v>
      </c>
      <c r="AB12" s="11">
        <v>3.87</v>
      </c>
      <c r="AC12" s="11">
        <v>2.95</v>
      </c>
      <c r="AD12" s="11">
        <v>2.44</v>
      </c>
      <c r="AE12" s="11">
        <v>2.1</v>
      </c>
      <c r="AF12" s="11">
        <v>1.86</v>
      </c>
      <c r="AG12" s="11">
        <v>1.68</v>
      </c>
      <c r="AH12" s="11">
        <v>1.54</v>
      </c>
      <c r="AI12" s="11">
        <v>1.42</v>
      </c>
      <c r="AJ12" s="11">
        <v>1.32</v>
      </c>
      <c r="AK12" s="11">
        <v>1.17</v>
      </c>
      <c r="AL12" s="11">
        <v>1.06</v>
      </c>
      <c r="AM12" s="11">
        <v>0.97</v>
      </c>
      <c r="AN12" s="11">
        <v>0.9</v>
      </c>
      <c r="AO12" s="11">
        <v>0.83</v>
      </c>
      <c r="AP12" s="11">
        <v>0.67</v>
      </c>
      <c r="AQ12" s="11">
        <v>0.53</v>
      </c>
      <c r="AR12" s="11">
        <v>0.33</v>
      </c>
      <c r="AS12" s="11">
        <v>0.25</v>
      </c>
    </row>
    <row r="13" spans="1:45">
      <c r="A13" s="2">
        <v>1</v>
      </c>
      <c r="B13" s="2">
        <v>1.79</v>
      </c>
      <c r="C13" s="2">
        <v>1.85</v>
      </c>
      <c r="D13" s="2">
        <v>1.89</v>
      </c>
      <c r="E13" s="2">
        <v>1.96</v>
      </c>
      <c r="F13" s="2">
        <v>2.0099999999999998</v>
      </c>
      <c r="G13" s="2">
        <v>2.09</v>
      </c>
      <c r="H13" s="2">
        <v>2.16</v>
      </c>
      <c r="I13" s="2">
        <v>2.23</v>
      </c>
      <c r="J13" s="2">
        <v>2.35</v>
      </c>
      <c r="K13" s="2">
        <v>2.44</v>
      </c>
      <c r="L13" s="2">
        <v>2.59</v>
      </c>
      <c r="M13" s="2">
        <v>2.71</v>
      </c>
      <c r="R13" s="11">
        <v>6</v>
      </c>
      <c r="S13" s="11">
        <v>19.07</v>
      </c>
      <c r="T13" s="11">
        <v>12.01</v>
      </c>
      <c r="U13" s="11">
        <v>9.17</v>
      </c>
      <c r="V13" s="11">
        <v>7.57</v>
      </c>
      <c r="W13" s="11">
        <v>6.52</v>
      </c>
      <c r="X13" s="11">
        <v>5.77</v>
      </c>
      <c r="Y13" s="11">
        <v>5.21</v>
      </c>
      <c r="Z13" s="11">
        <v>4.7699999999999996</v>
      </c>
      <c r="AA13" s="11">
        <v>4.41</v>
      </c>
      <c r="AB13" s="11">
        <v>4.1100000000000003</v>
      </c>
      <c r="AC13" s="11">
        <v>3.14</v>
      </c>
      <c r="AD13" s="11">
        <v>2.59</v>
      </c>
      <c r="AE13" s="11">
        <v>2.23</v>
      </c>
      <c r="AF13" s="11">
        <v>1.97</v>
      </c>
      <c r="AG13" s="11">
        <v>1.78</v>
      </c>
      <c r="AH13" s="11">
        <v>1.63</v>
      </c>
      <c r="AI13" s="11">
        <v>1.51</v>
      </c>
      <c r="AJ13" s="11">
        <v>1.4</v>
      </c>
      <c r="AK13" s="11">
        <v>1.24</v>
      </c>
      <c r="AL13" s="11">
        <v>1.1200000000000001</v>
      </c>
      <c r="AM13" s="11">
        <v>1.03</v>
      </c>
      <c r="AN13" s="11">
        <v>0.95</v>
      </c>
      <c r="AO13" s="11">
        <v>0.88</v>
      </c>
      <c r="AP13" s="11">
        <v>0.71</v>
      </c>
      <c r="AQ13" s="11">
        <v>0.56000000000000005</v>
      </c>
      <c r="AR13" s="11">
        <v>0.35</v>
      </c>
      <c r="AS13" s="11">
        <v>0.27</v>
      </c>
    </row>
    <row r="14" spans="1:45">
      <c r="A14" s="2">
        <v>1.25</v>
      </c>
      <c r="B14" s="2">
        <v>1.54</v>
      </c>
      <c r="C14" s="2">
        <v>1.59</v>
      </c>
      <c r="D14" s="2">
        <v>1.63</v>
      </c>
      <c r="E14" s="2">
        <v>1.68</v>
      </c>
      <c r="F14" s="2">
        <v>1.73</v>
      </c>
      <c r="G14" s="2">
        <v>1.78</v>
      </c>
      <c r="H14" s="2">
        <v>1.86</v>
      </c>
      <c r="I14" s="2">
        <v>1.92</v>
      </c>
      <c r="J14" s="2">
        <v>2.02</v>
      </c>
      <c r="K14" s="2">
        <v>2.1</v>
      </c>
      <c r="L14" s="2">
        <v>2.23</v>
      </c>
      <c r="M14" s="2">
        <v>2.33</v>
      </c>
      <c r="R14" s="11">
        <v>8</v>
      </c>
      <c r="S14" s="11">
        <v>19.940000000000001</v>
      </c>
      <c r="T14" s="11">
        <v>12.56</v>
      </c>
      <c r="U14" s="11">
        <v>9.58</v>
      </c>
      <c r="V14" s="11">
        <v>7.91</v>
      </c>
      <c r="W14" s="11">
        <v>6.82</v>
      </c>
      <c r="X14" s="11">
        <v>6.04</v>
      </c>
      <c r="Y14" s="11">
        <v>5.45</v>
      </c>
      <c r="Z14" s="11">
        <v>4.9800000000000004</v>
      </c>
      <c r="AA14" s="11">
        <v>4.6100000000000003</v>
      </c>
      <c r="AB14" s="11">
        <v>4.3</v>
      </c>
      <c r="AC14" s="11">
        <v>3.28</v>
      </c>
      <c r="AD14" s="11">
        <v>2.71</v>
      </c>
      <c r="AE14" s="11">
        <v>2.33</v>
      </c>
      <c r="AF14" s="11">
        <v>2.0699999999999998</v>
      </c>
      <c r="AG14" s="11">
        <v>1.86</v>
      </c>
      <c r="AH14" s="11">
        <v>1.7</v>
      </c>
      <c r="AI14" s="11">
        <v>1.58</v>
      </c>
      <c r="AJ14" s="11">
        <v>1.47</v>
      </c>
      <c r="AK14" s="11">
        <v>1.3</v>
      </c>
      <c r="AL14" s="11">
        <v>1.17</v>
      </c>
      <c r="AM14" s="11">
        <v>1.07</v>
      </c>
      <c r="AN14" s="11">
        <v>0.99</v>
      </c>
      <c r="AO14" s="11">
        <v>0.93</v>
      </c>
      <c r="AP14" s="11">
        <v>0.74</v>
      </c>
      <c r="AQ14" s="11">
        <v>0.57999999999999996</v>
      </c>
      <c r="AR14" s="11">
        <v>0.37</v>
      </c>
      <c r="AS14" s="11">
        <v>0.28000000000000003</v>
      </c>
    </row>
    <row r="15" spans="1:45">
      <c r="A15" s="2">
        <v>1.5</v>
      </c>
      <c r="B15" s="2">
        <v>1.37</v>
      </c>
      <c r="C15" s="2">
        <v>1.41</v>
      </c>
      <c r="D15" s="2">
        <v>1.44</v>
      </c>
      <c r="E15" s="2">
        <v>1.49</v>
      </c>
      <c r="F15" s="2">
        <v>1.53</v>
      </c>
      <c r="G15" s="2">
        <v>1.58</v>
      </c>
      <c r="H15" s="2">
        <v>1.65</v>
      </c>
      <c r="I15" s="2">
        <v>1.7</v>
      </c>
      <c r="J15" s="2">
        <v>1.79</v>
      </c>
      <c r="K15" s="2">
        <v>1.86</v>
      </c>
      <c r="L15" s="2">
        <v>1.97</v>
      </c>
      <c r="M15" s="2">
        <v>2.0699999999999998</v>
      </c>
    </row>
    <row r="16" spans="1:45">
      <c r="A16" s="2">
        <v>1.75</v>
      </c>
      <c r="B16" s="2">
        <v>1.23</v>
      </c>
      <c r="C16" s="2">
        <v>1.27</v>
      </c>
      <c r="D16" s="2">
        <v>1.3</v>
      </c>
      <c r="E16" s="2">
        <v>1.35</v>
      </c>
      <c r="F16" s="2">
        <v>1.38</v>
      </c>
      <c r="G16" s="2">
        <v>1.43</v>
      </c>
      <c r="H16" s="2">
        <v>1.49</v>
      </c>
      <c r="I16" s="2">
        <v>1.54</v>
      </c>
      <c r="J16" s="2">
        <v>1.62</v>
      </c>
      <c r="K16" s="2">
        <v>1.68</v>
      </c>
      <c r="L16" s="2">
        <v>1.78</v>
      </c>
      <c r="M16" s="2">
        <v>1.86</v>
      </c>
    </row>
    <row r="17" spans="1:13">
      <c r="A17" s="2">
        <v>2</v>
      </c>
      <c r="B17" s="2">
        <v>1.1299999999999999</v>
      </c>
      <c r="C17" s="2">
        <v>1.1599999999999999</v>
      </c>
      <c r="D17" s="2">
        <v>1.19</v>
      </c>
      <c r="E17" s="2">
        <v>1.23</v>
      </c>
      <c r="F17" s="2">
        <v>1.26</v>
      </c>
      <c r="G17" s="2">
        <v>1.31</v>
      </c>
      <c r="H17" s="2">
        <v>1.36</v>
      </c>
      <c r="I17" s="2">
        <v>1.4</v>
      </c>
      <c r="J17" s="2">
        <v>1.48</v>
      </c>
      <c r="K17" s="2">
        <v>1.54</v>
      </c>
      <c r="L17" s="2">
        <v>1.63</v>
      </c>
      <c r="M17" s="2">
        <v>1.7</v>
      </c>
    </row>
    <row r="18" spans="1:13">
      <c r="A18" s="2">
        <v>2.25</v>
      </c>
      <c r="B18" s="2">
        <v>1.04</v>
      </c>
      <c r="C18" s="2">
        <v>1.08</v>
      </c>
      <c r="D18" s="2">
        <v>1.1000000000000001</v>
      </c>
      <c r="E18" s="2">
        <v>1.1399999999999999</v>
      </c>
      <c r="F18" s="2">
        <v>1.17</v>
      </c>
      <c r="G18" s="2">
        <v>1.21</v>
      </c>
      <c r="H18" s="2">
        <v>1.26</v>
      </c>
      <c r="I18" s="2">
        <v>1.3</v>
      </c>
      <c r="J18" s="2">
        <v>1.37</v>
      </c>
      <c r="K18" s="2">
        <v>1.42</v>
      </c>
      <c r="L18" s="2">
        <v>1.51</v>
      </c>
      <c r="M18" s="2">
        <v>1.58</v>
      </c>
    </row>
    <row r="19" spans="1:13">
      <c r="A19" s="2">
        <v>2.5</v>
      </c>
      <c r="B19" s="2">
        <v>0.97</v>
      </c>
      <c r="C19" s="2">
        <v>1</v>
      </c>
      <c r="D19" s="2">
        <v>1.02</v>
      </c>
      <c r="E19" s="2">
        <v>1.06</v>
      </c>
      <c r="F19" s="2">
        <v>1.0900000000000001</v>
      </c>
      <c r="G19" s="2">
        <v>1.1200000000000001</v>
      </c>
      <c r="H19" s="2">
        <v>1.17</v>
      </c>
      <c r="I19" s="2">
        <v>1.21</v>
      </c>
      <c r="J19" s="2">
        <v>1.27</v>
      </c>
      <c r="K19" s="2">
        <v>1.32</v>
      </c>
      <c r="L19" s="2">
        <v>1.4</v>
      </c>
      <c r="M19" s="2">
        <v>1.47</v>
      </c>
    </row>
    <row r="20" spans="1:13">
      <c r="A20" s="2">
        <v>3</v>
      </c>
      <c r="B20" s="2">
        <v>0.85</v>
      </c>
      <c r="C20" s="2">
        <v>0.89</v>
      </c>
      <c r="D20" s="2">
        <v>0.91</v>
      </c>
      <c r="E20" s="2">
        <v>0.94</v>
      </c>
      <c r="F20" s="2">
        <v>0.96</v>
      </c>
      <c r="G20" s="2">
        <v>1</v>
      </c>
      <c r="H20" s="2">
        <v>1.04</v>
      </c>
      <c r="I20" s="2">
        <v>1.07</v>
      </c>
      <c r="J20" s="2">
        <v>1.1299999999999999</v>
      </c>
      <c r="K20" s="2">
        <v>1.17</v>
      </c>
      <c r="L20" s="2">
        <v>1.24</v>
      </c>
      <c r="M20" s="2">
        <v>1.3</v>
      </c>
    </row>
    <row r="21" spans="1:13">
      <c r="A21" s="2">
        <v>3.5</v>
      </c>
      <c r="B21" s="2">
        <v>0.78</v>
      </c>
      <c r="C21" s="2">
        <v>0.8</v>
      </c>
      <c r="D21" s="2">
        <v>0.82</v>
      </c>
      <c r="E21" s="2">
        <v>0.85</v>
      </c>
      <c r="F21" s="2">
        <v>0.87</v>
      </c>
      <c r="G21" s="2">
        <v>0.9</v>
      </c>
      <c r="H21" s="2">
        <v>0.94</v>
      </c>
      <c r="I21" s="2">
        <v>0.97</v>
      </c>
      <c r="J21" s="2">
        <v>1.02</v>
      </c>
      <c r="K21" s="2">
        <v>1.06</v>
      </c>
      <c r="L21" s="2">
        <v>1.1200000000000001</v>
      </c>
      <c r="M21" s="2">
        <v>1.17</v>
      </c>
    </row>
    <row r="22" spans="1:13">
      <c r="A22" s="2">
        <v>4</v>
      </c>
      <c r="B22" s="2">
        <v>0.71</v>
      </c>
      <c r="C22" s="2">
        <v>0.73</v>
      </c>
      <c r="D22" s="2">
        <v>0.75</v>
      </c>
      <c r="E22" s="2">
        <v>0.78</v>
      </c>
      <c r="F22" s="2">
        <v>0.8</v>
      </c>
      <c r="G22" s="2">
        <v>0.82</v>
      </c>
      <c r="H22" s="2">
        <v>0.86</v>
      </c>
      <c r="I22" s="2">
        <v>0.88</v>
      </c>
      <c r="J22" s="2">
        <v>0.93</v>
      </c>
      <c r="K22" s="2">
        <v>0.97</v>
      </c>
      <c r="L22" s="2">
        <v>1.03</v>
      </c>
      <c r="M22" s="2">
        <v>1.07</v>
      </c>
    </row>
    <row r="23" spans="1:13">
      <c r="A23" s="2">
        <v>4.5</v>
      </c>
      <c r="B23" s="2">
        <v>0.66</v>
      </c>
      <c r="C23" s="2">
        <v>0.68</v>
      </c>
      <c r="D23" s="2">
        <v>0.69</v>
      </c>
      <c r="E23" s="2">
        <v>0.72</v>
      </c>
      <c r="F23" s="2">
        <v>0.74</v>
      </c>
      <c r="G23" s="2">
        <v>0.76</v>
      </c>
      <c r="H23" s="2">
        <v>0.79</v>
      </c>
      <c r="I23" s="2">
        <v>0.82</v>
      </c>
      <c r="J23" s="2">
        <v>0.86</v>
      </c>
      <c r="K23" s="2">
        <v>0.9</v>
      </c>
      <c r="L23" s="2">
        <v>0.95</v>
      </c>
      <c r="M23" s="2">
        <v>0.99</v>
      </c>
    </row>
    <row r="24" spans="1:13">
      <c r="A24" s="2">
        <v>5</v>
      </c>
      <c r="B24" s="2">
        <v>0.61</v>
      </c>
      <c r="C24" s="2">
        <v>0.63</v>
      </c>
      <c r="D24" s="2">
        <v>0.65</v>
      </c>
      <c r="E24" s="2">
        <v>0.67</v>
      </c>
      <c r="F24" s="2">
        <v>0.69</v>
      </c>
      <c r="G24" s="2">
        <v>0.71</v>
      </c>
      <c r="H24" s="2">
        <v>0.74</v>
      </c>
      <c r="I24" s="2">
        <v>0.76</v>
      </c>
      <c r="J24" s="2">
        <v>0.8</v>
      </c>
      <c r="K24" s="2">
        <v>0.83</v>
      </c>
      <c r="L24" s="2">
        <v>0.88</v>
      </c>
      <c r="M24" s="2">
        <v>0.93</v>
      </c>
    </row>
    <row r="25" spans="1:13">
      <c r="A25" s="2">
        <v>7</v>
      </c>
      <c r="B25" s="2">
        <v>0.49</v>
      </c>
      <c r="C25" s="2">
        <v>0.5</v>
      </c>
      <c r="D25" s="2">
        <v>0.52</v>
      </c>
      <c r="E25" s="2">
        <v>0.53</v>
      </c>
      <c r="F25" s="2">
        <v>0.55000000000000004</v>
      </c>
      <c r="G25" s="2">
        <v>0.56999999999999995</v>
      </c>
      <c r="H25" s="2">
        <v>0.59</v>
      </c>
      <c r="I25" s="2">
        <v>0.61</v>
      </c>
      <c r="J25" s="2">
        <v>0.64</v>
      </c>
      <c r="K25" s="2">
        <v>0.67</v>
      </c>
      <c r="L25" s="2">
        <v>0.71</v>
      </c>
      <c r="M25" s="2">
        <v>0.74</v>
      </c>
    </row>
    <row r="26" spans="1:13">
      <c r="A26" s="2">
        <v>10</v>
      </c>
      <c r="B26" s="2">
        <v>0.39</v>
      </c>
      <c r="C26" s="2">
        <v>0.4</v>
      </c>
      <c r="D26" s="2">
        <v>0.41</v>
      </c>
      <c r="E26" s="2">
        <v>0.42</v>
      </c>
      <c r="F26" s="2">
        <v>0.43</v>
      </c>
      <c r="G26" s="2">
        <v>0.45</v>
      </c>
      <c r="H26" s="2">
        <v>0.47</v>
      </c>
      <c r="I26" s="2">
        <v>0.48</v>
      </c>
      <c r="J26" s="2">
        <v>0.51</v>
      </c>
      <c r="K26" s="2">
        <v>0.53</v>
      </c>
      <c r="L26" s="2">
        <v>0.56000000000000005</v>
      </c>
      <c r="M26" s="2">
        <v>0.57999999999999996</v>
      </c>
    </row>
    <row r="27" spans="1:13">
      <c r="A27" s="2">
        <v>20</v>
      </c>
      <c r="B27" s="2">
        <v>0.24</v>
      </c>
      <c r="C27" s="2">
        <v>0.25</v>
      </c>
      <c r="D27" s="2">
        <v>0.26</v>
      </c>
      <c r="E27" s="2">
        <v>0.26</v>
      </c>
      <c r="F27" s="2">
        <v>0.27</v>
      </c>
      <c r="G27" s="2">
        <v>0.28000000000000003</v>
      </c>
      <c r="H27" s="2">
        <v>0.28999999999999998</v>
      </c>
      <c r="I27" s="2">
        <v>0.3</v>
      </c>
      <c r="J27" s="2">
        <v>0.32</v>
      </c>
      <c r="K27" s="2">
        <v>0.33</v>
      </c>
      <c r="L27" s="2">
        <v>0.35</v>
      </c>
      <c r="M27" s="2">
        <v>0.37</v>
      </c>
    </row>
    <row r="28" spans="1:13">
      <c r="A28" s="2">
        <v>30</v>
      </c>
      <c r="B28" s="2">
        <v>0.18</v>
      </c>
      <c r="C28" s="2">
        <v>0.19</v>
      </c>
      <c r="D28" s="2">
        <v>0.2</v>
      </c>
      <c r="E28" s="2">
        <v>0.2</v>
      </c>
      <c r="F28" s="2">
        <v>0.21</v>
      </c>
      <c r="G28" s="2">
        <v>0.21</v>
      </c>
      <c r="H28" s="2">
        <v>0.22</v>
      </c>
      <c r="I28" s="2">
        <v>0.23</v>
      </c>
      <c r="J28" s="2">
        <v>0.24</v>
      </c>
      <c r="K28" s="2">
        <v>0.25</v>
      </c>
      <c r="L28" s="2">
        <v>0.27</v>
      </c>
      <c r="M28" s="2">
        <v>0.28000000000000003</v>
      </c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 t="s">
        <v>422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>
        <v>0.1</v>
      </c>
      <c r="C31" s="2">
        <v>0.2</v>
      </c>
      <c r="D31" s="2">
        <v>0.3</v>
      </c>
      <c r="E31" s="2">
        <v>0.5</v>
      </c>
      <c r="F31" s="2">
        <v>0.7</v>
      </c>
      <c r="G31" s="2">
        <v>1</v>
      </c>
      <c r="H31" s="2">
        <v>1.5</v>
      </c>
      <c r="I31" s="2">
        <v>2</v>
      </c>
      <c r="J31" s="2">
        <v>3</v>
      </c>
      <c r="K31" s="2">
        <v>4</v>
      </c>
      <c r="L31" s="2">
        <v>6</v>
      </c>
      <c r="M31" s="2">
        <v>8</v>
      </c>
    </row>
    <row r="32" spans="1:13" ht="14">
      <c r="A32" s="2"/>
      <c r="B32" s="28" t="e">
        <f>+VLOOKUP(Report!$AA$3,'CAx Table'!$A2:$M28,2)</f>
        <v>#DIV/0!</v>
      </c>
      <c r="C32" s="28" t="e">
        <f>+VLOOKUP(Report!$AA$3,'CAx Table'!$A2:$M28,3)</f>
        <v>#DIV/0!</v>
      </c>
      <c r="D32" s="28" t="e">
        <f>+VLOOKUP(Report!$AA$3,'CAx Table'!$A2:$M28,4)</f>
        <v>#DIV/0!</v>
      </c>
      <c r="E32" s="28" t="e">
        <f>+VLOOKUP(Report!$AA$3,'CAx Table'!$A2:$M28,5)</f>
        <v>#DIV/0!</v>
      </c>
      <c r="F32" s="28" t="e">
        <f>+VLOOKUP(Report!$AA$3,'CAx Table'!$A2:$M28,6)</f>
        <v>#DIV/0!</v>
      </c>
      <c r="G32" s="28" t="e">
        <f>+VLOOKUP(Report!$AA$3,'CAx Table'!$A2:$M28,7)</f>
        <v>#DIV/0!</v>
      </c>
      <c r="H32" s="28" t="e">
        <f>+VLOOKUP(Report!$AA$3,'CAx Table'!$A2:$M28,8)</f>
        <v>#DIV/0!</v>
      </c>
      <c r="I32" s="28" t="e">
        <f>+VLOOKUP(Report!$AA$3,'CAx Table'!$A2:$M28,9)</f>
        <v>#DIV/0!</v>
      </c>
      <c r="J32" s="28" t="e">
        <f>+VLOOKUP(Report!$AA$3,'CAx Table'!$A2:$M28,10)</f>
        <v>#DIV/0!</v>
      </c>
      <c r="K32" s="28" t="e">
        <f>+VLOOKUP(Report!$AA$3,'CAx Table'!$A2:$M28,11)</f>
        <v>#DIV/0!</v>
      </c>
      <c r="L32" s="28" t="e">
        <f>+VLOOKUP(Report!$AA$3,'CAx Table'!$A2:$M28,12)</f>
        <v>#DIV/0!</v>
      </c>
      <c r="M32" s="28" t="e">
        <f>+VLOOKUP(Report!$AA$3,'CAx Table'!$A2:$M28,13)</f>
        <v>#DIV/0!</v>
      </c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 password="CC5C" sheet="1" objects="1" scenarios="1"/>
  <customSheetViews>
    <customSheetView guid="{21300D53-AFA3-488E-A98B-4772AFCC0BD2}">
      <selection activeCell="B30" sqref="B30:K36"/>
    </customSheetView>
    <customSheetView guid="{EA60625F-3B45-4C74-B661-51EFBE97F615}"/>
  </customSheetViews>
  <phoneticPr fontId="1" type="noConversion"/>
  <hyperlinks>
    <hyperlink ref="B32" r:id="rId1" display="mailto:+@vlookup(Report!Z2,CAx!A2:M28,2"/>
    <hyperlink ref="C32" r:id="rId2" display="mailto:+@vlookup(Report!Z2,CAx!A2:M28,2"/>
    <hyperlink ref="D32:M32" r:id="rId3" display="mailto:+@vlookup(Report!Z2,CAx!A2:M28,2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37:D42"/>
  <sheetViews>
    <sheetView topLeftCell="A27" zoomScale="200" zoomScaleNormal="200" zoomScalePageLayoutView="200" workbookViewId="0">
      <selection activeCell="A39" sqref="A39"/>
    </sheetView>
  </sheetViews>
  <sheetFormatPr baseColWidth="10" defaultColWidth="7.5703125" defaultRowHeight="13"/>
  <cols>
    <col min="3" max="3" width="7.85546875" bestFit="1" customWidth="1"/>
  </cols>
  <sheetData>
    <row r="37" spans="1:4">
      <c r="A37" t="s">
        <v>423</v>
      </c>
      <c r="D37" s="29"/>
    </row>
    <row r="38" spans="1:4">
      <c r="A38" t="s">
        <v>424</v>
      </c>
      <c r="C38">
        <f>+Report!C16</f>
        <v>0</v>
      </c>
    </row>
    <row r="39" spans="1:4">
      <c r="A39" s="37" t="s">
        <v>425</v>
      </c>
      <c r="C39" s="11" t="e">
        <f>+Report!AA3</f>
        <v>#DIV/0!</v>
      </c>
    </row>
    <row r="40" spans="1:4">
      <c r="A40" t="s">
        <v>426</v>
      </c>
    </row>
    <row r="42" spans="1:4" ht="15">
      <c r="A42" s="35" t="s">
        <v>463</v>
      </c>
      <c r="D42" s="36"/>
    </row>
  </sheetData>
  <sheetCalcPr fullCalcOnLoad="1"/>
  <customSheetViews>
    <customSheetView guid="{21300D53-AFA3-488E-A98B-4772AFCC0BD2}" topLeftCell="A2">
      <selection activeCell="I51" sqref="I51"/>
    </customSheetView>
    <customSheetView guid="{EA60625F-3B45-4C74-B661-51EFBE97F615}" topLeftCell="A12">
      <selection activeCell="C39" sqref="C39"/>
    </customSheetView>
  </customSheetViews>
  <phoneticPr fontId="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B2:F388"/>
  <sheetViews>
    <sheetView workbookViewId="0">
      <selection activeCell="B53" sqref="B53"/>
    </sheetView>
  </sheetViews>
  <sheetFormatPr baseColWidth="10" defaultColWidth="7.5703125" defaultRowHeight="13"/>
  <cols>
    <col min="4" max="4" width="27.85546875" customWidth="1"/>
  </cols>
  <sheetData>
    <row r="2" spans="2:6">
      <c r="B2" s="2">
        <v>1</v>
      </c>
      <c r="C2" s="2"/>
      <c r="D2" s="2" t="s">
        <v>457</v>
      </c>
      <c r="E2" s="2" t="s">
        <v>427</v>
      </c>
      <c r="F2" s="2" t="s">
        <v>428</v>
      </c>
    </row>
    <row r="3" spans="2:6">
      <c r="B3" s="2">
        <v>386</v>
      </c>
      <c r="C3" s="3">
        <v>1</v>
      </c>
      <c r="D3" s="30" t="s">
        <v>464</v>
      </c>
      <c r="E3" s="2">
        <v>41.5</v>
      </c>
      <c r="F3" s="2">
        <v>3.4</v>
      </c>
    </row>
    <row r="4" spans="2:6">
      <c r="B4" s="2"/>
      <c r="C4" s="3">
        <v>2</v>
      </c>
      <c r="D4" s="31" t="s">
        <v>465</v>
      </c>
      <c r="E4" s="2">
        <v>33.910000000000004</v>
      </c>
      <c r="F4" s="2">
        <v>3.4</v>
      </c>
    </row>
    <row r="5" spans="2:6">
      <c r="B5" s="2"/>
      <c r="C5" s="3">
        <v>3</v>
      </c>
      <c r="D5" s="32" t="s">
        <v>466</v>
      </c>
      <c r="E5" s="2">
        <v>35.270000000000003</v>
      </c>
      <c r="F5" s="2">
        <v>3.4</v>
      </c>
    </row>
    <row r="6" spans="2:6">
      <c r="B6" s="2"/>
      <c r="C6" s="3">
        <v>4</v>
      </c>
      <c r="D6" s="31" t="s">
        <v>467</v>
      </c>
      <c r="E6" s="2">
        <v>17.529999999999998</v>
      </c>
      <c r="F6" s="2">
        <v>3.4</v>
      </c>
    </row>
    <row r="7" spans="2:6">
      <c r="B7" s="2"/>
      <c r="C7" s="3">
        <v>5</v>
      </c>
      <c r="D7" s="32" t="s">
        <v>468</v>
      </c>
      <c r="E7" s="2">
        <v>28.25</v>
      </c>
      <c r="F7" s="2">
        <v>3.4</v>
      </c>
    </row>
    <row r="8" spans="2:6">
      <c r="B8" s="2"/>
      <c r="C8" s="3">
        <v>6</v>
      </c>
      <c r="D8" s="32" t="s">
        <v>469</v>
      </c>
      <c r="E8" s="2">
        <v>37.06</v>
      </c>
      <c r="F8" s="2">
        <v>3.4</v>
      </c>
    </row>
    <row r="9" spans="2:6">
      <c r="B9" s="2"/>
      <c r="C9" s="3">
        <v>7</v>
      </c>
      <c r="D9" s="32" t="s">
        <v>470</v>
      </c>
      <c r="E9" s="2">
        <v>26.180000000000003</v>
      </c>
      <c r="F9" s="2">
        <v>3.4</v>
      </c>
    </row>
    <row r="10" spans="2:6">
      <c r="B10" s="2"/>
      <c r="C10" s="3">
        <v>8</v>
      </c>
      <c r="D10" s="31" t="s">
        <v>471</v>
      </c>
      <c r="E10" s="2">
        <v>18.260000000000002</v>
      </c>
      <c r="F10" s="2">
        <v>3.4</v>
      </c>
    </row>
    <row r="11" spans="2:6">
      <c r="B11" s="2"/>
      <c r="C11" s="3">
        <v>9</v>
      </c>
      <c r="D11" s="32" t="s">
        <v>472</v>
      </c>
      <c r="E11" s="2">
        <v>28.240000000000002</v>
      </c>
      <c r="F11" s="2">
        <v>3.4</v>
      </c>
    </row>
    <row r="12" spans="2:6">
      <c r="B12" s="2"/>
      <c r="C12" s="3">
        <v>10</v>
      </c>
      <c r="D12" s="31" t="s">
        <v>473</v>
      </c>
      <c r="E12" s="2">
        <v>27.93</v>
      </c>
      <c r="F12" s="2">
        <v>3.4</v>
      </c>
    </row>
    <row r="13" spans="2:6">
      <c r="B13" s="2"/>
      <c r="C13" s="3">
        <v>11</v>
      </c>
      <c r="D13" s="31" t="s">
        <v>474</v>
      </c>
      <c r="E13" s="2">
        <v>26.180000000000003</v>
      </c>
      <c r="F13" s="2">
        <v>3.4</v>
      </c>
    </row>
    <row r="14" spans="2:6">
      <c r="B14" s="2"/>
      <c r="C14" s="3">
        <v>12</v>
      </c>
      <c r="D14" s="31" t="s">
        <v>475</v>
      </c>
      <c r="E14" s="2">
        <v>28.23</v>
      </c>
      <c r="F14" s="2">
        <v>3.4</v>
      </c>
    </row>
    <row r="15" spans="2:6">
      <c r="B15" s="2"/>
      <c r="C15" s="3">
        <v>13</v>
      </c>
      <c r="D15" s="31" t="s">
        <v>476</v>
      </c>
      <c r="E15" s="2">
        <v>47.67</v>
      </c>
      <c r="F15" s="2">
        <v>3.4</v>
      </c>
    </row>
    <row r="16" spans="2:6">
      <c r="B16" s="2"/>
      <c r="C16" s="3">
        <v>14</v>
      </c>
      <c r="D16" s="32" t="s">
        <v>477</v>
      </c>
      <c r="E16" s="2">
        <v>22.130000000000003</v>
      </c>
      <c r="F16" s="2">
        <v>3.4</v>
      </c>
    </row>
    <row r="17" spans="2:6">
      <c r="B17" s="2"/>
      <c r="C17" s="3">
        <v>15</v>
      </c>
      <c r="D17" s="31" t="s">
        <v>478</v>
      </c>
      <c r="E17" s="2">
        <v>19.759999999999998</v>
      </c>
      <c r="F17" s="2">
        <v>3.4</v>
      </c>
    </row>
    <row r="18" spans="2:6">
      <c r="B18" s="2"/>
      <c r="C18" s="3">
        <v>16</v>
      </c>
      <c r="D18" s="31" t="s">
        <v>479</v>
      </c>
      <c r="E18" s="2">
        <v>30.869999999999997</v>
      </c>
      <c r="F18" s="2">
        <v>3.4</v>
      </c>
    </row>
    <row r="19" spans="2:6">
      <c r="B19" s="2"/>
      <c r="C19" s="3">
        <v>17</v>
      </c>
      <c r="D19" s="31" t="s">
        <v>480</v>
      </c>
      <c r="E19" s="2">
        <v>26.159999999999997</v>
      </c>
      <c r="F19" s="2">
        <v>3.4</v>
      </c>
    </row>
    <row r="20" spans="2:6">
      <c r="B20" s="2"/>
      <c r="C20" s="3">
        <v>18</v>
      </c>
      <c r="D20" s="31" t="s">
        <v>481</v>
      </c>
      <c r="E20" s="2">
        <v>30.370000000000005</v>
      </c>
      <c r="F20" s="2">
        <v>3.4</v>
      </c>
    </row>
    <row r="21" spans="2:6">
      <c r="B21" s="2"/>
      <c r="C21" s="3">
        <v>19</v>
      </c>
      <c r="D21" s="32" t="s">
        <v>482</v>
      </c>
      <c r="E21" s="2">
        <v>30.32</v>
      </c>
      <c r="F21" s="2">
        <v>3.4</v>
      </c>
    </row>
    <row r="22" spans="2:6">
      <c r="B22" s="2"/>
      <c r="C22" s="3">
        <v>20</v>
      </c>
      <c r="D22" s="32" t="s">
        <v>483</v>
      </c>
      <c r="E22" s="2">
        <v>31.13</v>
      </c>
      <c r="F22" s="2">
        <v>3.4</v>
      </c>
    </row>
    <row r="23" spans="2:6">
      <c r="B23" s="2"/>
      <c r="C23" s="3">
        <v>21</v>
      </c>
      <c r="D23" s="32" t="s">
        <v>484</v>
      </c>
      <c r="E23" s="2">
        <v>37.6</v>
      </c>
      <c r="F23" s="2">
        <v>3.4</v>
      </c>
    </row>
    <row r="24" spans="2:6">
      <c r="B24" s="2"/>
      <c r="C24" s="3">
        <v>22</v>
      </c>
      <c r="D24" s="32" t="s">
        <v>485</v>
      </c>
      <c r="E24" s="2">
        <v>38.079999999999991</v>
      </c>
      <c r="F24" s="2">
        <v>3.4</v>
      </c>
    </row>
    <row r="25" spans="2:6">
      <c r="B25" s="2"/>
      <c r="C25" s="3">
        <v>23</v>
      </c>
      <c r="D25" s="32" t="s">
        <v>486</v>
      </c>
      <c r="E25" s="2">
        <v>22.540000000000003</v>
      </c>
      <c r="F25" s="2">
        <v>3.4</v>
      </c>
    </row>
    <row r="26" spans="2:6">
      <c r="B26" s="2"/>
      <c r="C26" s="3">
        <v>24</v>
      </c>
      <c r="D26" s="32" t="s">
        <v>487</v>
      </c>
      <c r="E26" s="2">
        <v>39.980000000000004</v>
      </c>
      <c r="F26" s="2">
        <v>3.4</v>
      </c>
    </row>
    <row r="27" spans="2:6">
      <c r="B27" s="2"/>
      <c r="C27" s="3">
        <v>25</v>
      </c>
      <c r="D27" s="33" t="s">
        <v>321</v>
      </c>
      <c r="E27" s="2">
        <v>48.999999999999993</v>
      </c>
      <c r="F27" s="2">
        <v>3.4</v>
      </c>
    </row>
    <row r="28" spans="2:6">
      <c r="B28" s="2"/>
      <c r="C28" s="3">
        <v>26</v>
      </c>
      <c r="D28" s="31" t="s">
        <v>322</v>
      </c>
      <c r="E28" s="2">
        <v>42.47</v>
      </c>
      <c r="F28" s="2">
        <v>3.4</v>
      </c>
    </row>
    <row r="29" spans="2:6">
      <c r="B29" s="2"/>
      <c r="C29" s="3">
        <v>27</v>
      </c>
      <c r="D29" s="31" t="s">
        <v>323</v>
      </c>
      <c r="E29" s="2">
        <v>47.509999999999991</v>
      </c>
      <c r="F29" s="2">
        <v>3.4</v>
      </c>
    </row>
    <row r="30" spans="2:6">
      <c r="B30" s="2"/>
      <c r="C30" s="3">
        <v>28</v>
      </c>
      <c r="D30" s="32" t="s">
        <v>324</v>
      </c>
      <c r="E30" s="2">
        <v>44.749999999999993</v>
      </c>
      <c r="F30" s="2">
        <v>3.4</v>
      </c>
    </row>
    <row r="31" spans="2:6">
      <c r="B31" s="2"/>
      <c r="C31" s="3">
        <v>29</v>
      </c>
      <c r="D31" s="31" t="s">
        <v>325</v>
      </c>
      <c r="E31" s="2">
        <v>45.760000000000005</v>
      </c>
      <c r="F31" s="2">
        <v>3.4</v>
      </c>
    </row>
    <row r="32" spans="2:6">
      <c r="B32" s="2"/>
      <c r="C32" s="3">
        <v>30</v>
      </c>
      <c r="D32" s="31" t="s">
        <v>326</v>
      </c>
      <c r="E32" s="2">
        <v>37.39</v>
      </c>
      <c r="F32" s="2">
        <v>3.4</v>
      </c>
    </row>
    <row r="33" spans="2:6">
      <c r="B33" s="2"/>
      <c r="C33" s="3">
        <v>31</v>
      </c>
      <c r="D33" s="31" t="s">
        <v>327</v>
      </c>
      <c r="E33" s="2">
        <v>45.51</v>
      </c>
      <c r="F33" s="2">
        <v>3.4</v>
      </c>
    </row>
    <row r="34" spans="2:6">
      <c r="B34" s="2"/>
      <c r="C34" s="3">
        <v>32</v>
      </c>
      <c r="D34" s="31" t="s">
        <v>328</v>
      </c>
      <c r="E34" s="2">
        <v>39.78</v>
      </c>
      <c r="F34" s="2">
        <v>3.4</v>
      </c>
    </row>
    <row r="35" spans="2:6">
      <c r="B35" s="2"/>
      <c r="C35" s="3">
        <v>33</v>
      </c>
      <c r="D35" s="32" t="s">
        <v>329</v>
      </c>
      <c r="E35" s="2">
        <v>43.33</v>
      </c>
      <c r="F35" s="2">
        <v>3.4</v>
      </c>
    </row>
    <row r="36" spans="2:6">
      <c r="B36" s="2"/>
      <c r="C36" s="3">
        <v>34</v>
      </c>
      <c r="D36" s="32" t="s">
        <v>330</v>
      </c>
      <c r="E36" s="2">
        <v>33.730000000000004</v>
      </c>
      <c r="F36" s="2">
        <v>3.4</v>
      </c>
    </row>
    <row r="37" spans="2:6">
      <c r="B37" s="2"/>
      <c r="C37" s="3">
        <v>35</v>
      </c>
      <c r="D37" s="32" t="s">
        <v>331</v>
      </c>
      <c r="E37" s="2">
        <v>45.46</v>
      </c>
      <c r="F37" s="2">
        <v>3.4</v>
      </c>
    </row>
    <row r="38" spans="2:6">
      <c r="B38" s="2"/>
      <c r="C38" s="3">
        <v>36</v>
      </c>
      <c r="D38" s="31" t="s">
        <v>332</v>
      </c>
      <c r="E38" s="2">
        <v>43.819999999999993</v>
      </c>
      <c r="F38" s="2">
        <v>2.2999999999999998</v>
      </c>
    </row>
    <row r="39" spans="2:6">
      <c r="B39" s="2"/>
      <c r="C39" s="3">
        <v>37</v>
      </c>
      <c r="D39" s="31" t="s">
        <v>333</v>
      </c>
      <c r="E39" s="2">
        <v>42.39</v>
      </c>
      <c r="F39" s="2">
        <v>2.2999999999999998</v>
      </c>
    </row>
    <row r="40" spans="2:6">
      <c r="B40" s="2"/>
      <c r="C40" s="3">
        <v>38</v>
      </c>
      <c r="D40" s="31" t="s">
        <v>334</v>
      </c>
      <c r="E40" s="2">
        <v>31.46</v>
      </c>
      <c r="F40" s="2">
        <v>2.2999999999999998</v>
      </c>
    </row>
    <row r="41" spans="2:6">
      <c r="B41" s="2"/>
      <c r="C41" s="3">
        <v>39</v>
      </c>
      <c r="D41" s="31" t="s">
        <v>335</v>
      </c>
      <c r="E41" s="2">
        <v>28.08</v>
      </c>
      <c r="F41" s="2">
        <v>2.2999999999999998</v>
      </c>
    </row>
    <row r="42" spans="2:6">
      <c r="B42" s="2"/>
      <c r="C42" s="3">
        <v>40</v>
      </c>
      <c r="D42" s="31" t="s">
        <v>491</v>
      </c>
      <c r="E42" s="2">
        <v>28.790000000000003</v>
      </c>
      <c r="F42" s="2">
        <v>2.2999999999999998</v>
      </c>
    </row>
    <row r="43" spans="2:6">
      <c r="B43" s="2"/>
      <c r="C43" s="3">
        <v>41</v>
      </c>
      <c r="D43" s="31" t="s">
        <v>492</v>
      </c>
      <c r="E43" s="2">
        <v>30.419999999999998</v>
      </c>
      <c r="F43" s="2">
        <v>2.2999999999999998</v>
      </c>
    </row>
    <row r="44" spans="2:6">
      <c r="B44" s="2"/>
      <c r="C44" s="3">
        <v>42</v>
      </c>
      <c r="D44" s="31" t="s">
        <v>341</v>
      </c>
      <c r="E44" s="2">
        <v>29.01</v>
      </c>
      <c r="F44" s="2">
        <v>2.2999999999999998</v>
      </c>
    </row>
    <row r="45" spans="2:6">
      <c r="B45" s="2"/>
      <c r="C45" s="3">
        <v>43</v>
      </c>
      <c r="D45" s="31" t="s">
        <v>342</v>
      </c>
      <c r="E45" s="2">
        <v>31.3</v>
      </c>
      <c r="F45" s="2">
        <v>2.2999999999999998</v>
      </c>
    </row>
    <row r="46" spans="2:6">
      <c r="B46" s="2"/>
      <c r="C46" s="3">
        <v>44</v>
      </c>
      <c r="D46" s="32" t="s">
        <v>343</v>
      </c>
      <c r="E46" s="2">
        <v>30.419999999999998</v>
      </c>
      <c r="F46" s="2">
        <v>2.2999999999999998</v>
      </c>
    </row>
    <row r="47" spans="2:6">
      <c r="B47" s="2"/>
      <c r="C47" s="3">
        <v>45</v>
      </c>
      <c r="D47" s="32" t="s">
        <v>344</v>
      </c>
      <c r="E47" s="2">
        <v>33.760000000000005</v>
      </c>
      <c r="F47" s="2">
        <v>2.2999999999999998</v>
      </c>
    </row>
    <row r="48" spans="2:6">
      <c r="B48" s="2"/>
      <c r="C48" s="3">
        <v>46</v>
      </c>
      <c r="D48" s="31" t="s">
        <v>345</v>
      </c>
      <c r="E48" s="2">
        <v>23.51</v>
      </c>
      <c r="F48" s="2">
        <v>2.2999999999999998</v>
      </c>
    </row>
    <row r="49" spans="2:6">
      <c r="B49" s="2"/>
      <c r="C49" s="3">
        <v>47</v>
      </c>
      <c r="D49" s="31" t="s">
        <v>346</v>
      </c>
      <c r="E49" s="2">
        <v>32.08</v>
      </c>
      <c r="F49" s="2">
        <v>2.2999999999999998</v>
      </c>
    </row>
    <row r="50" spans="2:6">
      <c r="B50" s="2"/>
      <c r="C50" s="3">
        <v>48</v>
      </c>
      <c r="D50" s="31" t="s">
        <v>508</v>
      </c>
      <c r="E50" s="2">
        <v>30.599999999999998</v>
      </c>
      <c r="F50" s="2">
        <v>2.2999999999999998</v>
      </c>
    </row>
    <row r="51" spans="2:6">
      <c r="B51" s="2"/>
      <c r="C51" s="3">
        <v>49</v>
      </c>
      <c r="D51" s="31" t="s">
        <v>509</v>
      </c>
      <c r="E51" s="2">
        <v>20.040000000000003</v>
      </c>
      <c r="F51" s="2">
        <v>2.2999999999999998</v>
      </c>
    </row>
    <row r="52" spans="2:6">
      <c r="B52" s="2"/>
      <c r="C52" s="3">
        <v>50</v>
      </c>
      <c r="D52" s="31" t="s">
        <v>353</v>
      </c>
      <c r="E52" s="2">
        <v>21.61</v>
      </c>
      <c r="F52" s="2">
        <v>2.2999999999999998</v>
      </c>
    </row>
    <row r="53" spans="2:6">
      <c r="B53" s="2"/>
      <c r="C53" s="3">
        <v>51</v>
      </c>
      <c r="D53" s="32" t="s">
        <v>354</v>
      </c>
      <c r="E53" s="2">
        <v>27.119999999999997</v>
      </c>
      <c r="F53" s="2">
        <v>2.2999999999999998</v>
      </c>
    </row>
    <row r="54" spans="2:6">
      <c r="B54" s="2"/>
      <c r="C54" s="3">
        <v>52</v>
      </c>
      <c r="D54" s="32" t="s">
        <v>355</v>
      </c>
      <c r="E54" s="2">
        <v>24.189999999999998</v>
      </c>
      <c r="F54" s="2">
        <v>2.2999999999999998</v>
      </c>
    </row>
    <row r="55" spans="2:6">
      <c r="B55" s="2"/>
      <c r="C55" s="3">
        <v>53</v>
      </c>
      <c r="D55" s="32" t="s">
        <v>356</v>
      </c>
      <c r="E55" s="2">
        <v>19.529999999999998</v>
      </c>
      <c r="F55" s="2">
        <v>2.2999999999999998</v>
      </c>
    </row>
    <row r="56" spans="2:6">
      <c r="B56" s="2"/>
      <c r="C56" s="3">
        <v>54</v>
      </c>
      <c r="D56" s="31" t="s">
        <v>357</v>
      </c>
      <c r="E56" s="2">
        <v>20.040000000000003</v>
      </c>
      <c r="F56" s="2">
        <v>2.2999999999999998</v>
      </c>
    </row>
    <row r="57" spans="2:6">
      <c r="B57" s="2"/>
      <c r="C57" s="3">
        <v>55</v>
      </c>
      <c r="D57" s="31" t="s">
        <v>358</v>
      </c>
      <c r="E57" s="2">
        <v>21.51</v>
      </c>
      <c r="F57" s="2">
        <v>2.2999999999999998</v>
      </c>
    </row>
    <row r="58" spans="2:6">
      <c r="B58" s="2"/>
      <c r="C58" s="3">
        <v>56</v>
      </c>
      <c r="D58" s="31" t="s">
        <v>359</v>
      </c>
      <c r="E58" s="2">
        <v>21.909999999999997</v>
      </c>
      <c r="F58" s="2">
        <v>2.2999999999999998</v>
      </c>
    </row>
    <row r="59" spans="2:6">
      <c r="B59" s="2"/>
      <c r="C59" s="3">
        <v>57</v>
      </c>
      <c r="D59" s="31" t="s">
        <v>360</v>
      </c>
      <c r="E59" s="2">
        <v>22.029999999999998</v>
      </c>
      <c r="F59" s="2">
        <v>1.5</v>
      </c>
    </row>
    <row r="60" spans="2:6">
      <c r="B60" s="2"/>
      <c r="C60" s="3">
        <v>58</v>
      </c>
      <c r="D60" s="31" t="s">
        <v>361</v>
      </c>
      <c r="E60" s="2">
        <v>19.93</v>
      </c>
      <c r="F60" s="2">
        <v>1.5</v>
      </c>
    </row>
    <row r="61" spans="2:6">
      <c r="B61" s="2"/>
      <c r="C61" s="3">
        <v>59</v>
      </c>
      <c r="D61" s="31" t="s">
        <v>362</v>
      </c>
      <c r="E61" s="2">
        <v>21.68</v>
      </c>
      <c r="F61" s="2">
        <v>1.5</v>
      </c>
    </row>
    <row r="62" spans="2:6">
      <c r="B62" s="2"/>
      <c r="C62" s="3">
        <v>60</v>
      </c>
      <c r="D62" s="32" t="s">
        <v>363</v>
      </c>
      <c r="E62" s="2">
        <v>18.59</v>
      </c>
      <c r="F62" s="2">
        <v>1.5</v>
      </c>
    </row>
    <row r="63" spans="2:6">
      <c r="B63" s="2"/>
      <c r="C63" s="3">
        <v>61</v>
      </c>
      <c r="D63" s="31" t="s">
        <v>364</v>
      </c>
      <c r="E63" s="2">
        <v>9.3099999999999987</v>
      </c>
      <c r="F63" s="2">
        <v>1.5</v>
      </c>
    </row>
    <row r="64" spans="2:6">
      <c r="B64" s="2"/>
      <c r="C64" s="3">
        <v>62</v>
      </c>
      <c r="D64" s="31" t="s">
        <v>365</v>
      </c>
      <c r="E64" s="2">
        <v>11.690000000000001</v>
      </c>
      <c r="F64" s="2">
        <v>1.5</v>
      </c>
    </row>
    <row r="65" spans="2:6">
      <c r="B65" s="2"/>
      <c r="C65" s="3">
        <v>63</v>
      </c>
      <c r="D65" s="31" t="s">
        <v>366</v>
      </c>
      <c r="E65" s="2">
        <v>3.7699999999999996</v>
      </c>
      <c r="F65" s="2">
        <v>5.0999999999999996</v>
      </c>
    </row>
    <row r="66" spans="2:6">
      <c r="B66" s="2"/>
      <c r="C66" s="3">
        <v>64</v>
      </c>
      <c r="D66" s="31" t="s">
        <v>367</v>
      </c>
      <c r="E66" s="2">
        <v>3.05</v>
      </c>
      <c r="F66" s="2">
        <v>5.0999999999999996</v>
      </c>
    </row>
    <row r="67" spans="2:6">
      <c r="B67" s="2"/>
      <c r="C67" s="3">
        <v>65</v>
      </c>
      <c r="D67" s="31" t="s">
        <v>368</v>
      </c>
      <c r="E67" s="2">
        <v>21.7</v>
      </c>
      <c r="F67" s="2">
        <v>2.8</v>
      </c>
    </row>
    <row r="68" spans="2:6">
      <c r="B68" s="2"/>
      <c r="C68" s="3">
        <v>66</v>
      </c>
      <c r="D68" s="31" t="s">
        <v>369</v>
      </c>
      <c r="E68" s="2">
        <v>13.48</v>
      </c>
      <c r="F68" s="2">
        <v>2.8</v>
      </c>
    </row>
    <row r="69" spans="2:6">
      <c r="B69" s="2"/>
      <c r="C69" s="3">
        <v>67</v>
      </c>
      <c r="D69" s="31" t="s">
        <v>370</v>
      </c>
      <c r="E69" s="2">
        <v>11.799999999999999</v>
      </c>
      <c r="F69" s="2">
        <v>2.8</v>
      </c>
    </row>
    <row r="70" spans="2:6">
      <c r="B70" s="2"/>
      <c r="C70" s="3">
        <v>68</v>
      </c>
      <c r="D70" s="32" t="s">
        <v>371</v>
      </c>
      <c r="E70" s="2">
        <v>6.05</v>
      </c>
      <c r="F70" s="2">
        <v>2.8</v>
      </c>
    </row>
    <row r="71" spans="2:6">
      <c r="B71" s="2"/>
      <c r="C71" s="3">
        <v>69</v>
      </c>
      <c r="D71" s="31" t="s">
        <v>372</v>
      </c>
      <c r="E71" s="2">
        <v>11.799999999999999</v>
      </c>
      <c r="F71" s="2">
        <v>1.7</v>
      </c>
    </row>
    <row r="72" spans="2:6">
      <c r="B72" s="2"/>
      <c r="C72" s="3">
        <v>70</v>
      </c>
      <c r="D72" s="31" t="s">
        <v>373</v>
      </c>
      <c r="E72" s="2">
        <v>5.1899999999999995</v>
      </c>
      <c r="F72" s="2">
        <v>1.7</v>
      </c>
    </row>
    <row r="73" spans="2:6">
      <c r="B73" s="2"/>
      <c r="C73" s="3">
        <v>71</v>
      </c>
      <c r="D73" s="31" t="s">
        <v>374</v>
      </c>
      <c r="E73" s="2">
        <v>20.419999999999998</v>
      </c>
      <c r="F73" s="2">
        <v>1.7</v>
      </c>
    </row>
    <row r="74" spans="2:6">
      <c r="B74" s="2"/>
      <c r="C74" s="3">
        <v>72</v>
      </c>
      <c r="D74" s="31" t="s">
        <v>375</v>
      </c>
      <c r="E74" s="2">
        <v>4.32</v>
      </c>
      <c r="F74" s="2">
        <v>1.7</v>
      </c>
    </row>
    <row r="75" spans="2:6">
      <c r="B75" s="2"/>
      <c r="C75" s="3">
        <v>73</v>
      </c>
      <c r="D75" s="31" t="s">
        <v>376</v>
      </c>
      <c r="E75" s="2">
        <v>21.959999999999997</v>
      </c>
      <c r="F75" s="2">
        <v>2.2000000000000002</v>
      </c>
    </row>
    <row r="76" spans="2:6">
      <c r="B76" s="2"/>
      <c r="C76" s="3">
        <v>74</v>
      </c>
      <c r="D76" s="31" t="s">
        <v>377</v>
      </c>
      <c r="E76" s="2">
        <v>24.369999999999997</v>
      </c>
      <c r="F76" s="2">
        <v>2.2000000000000002</v>
      </c>
    </row>
    <row r="77" spans="2:6">
      <c r="B77" s="2"/>
      <c r="C77" s="3">
        <v>75</v>
      </c>
      <c r="D77" s="31" t="s">
        <v>378</v>
      </c>
      <c r="E77" s="2">
        <v>14.160000000000002</v>
      </c>
      <c r="F77" s="2">
        <v>2.2000000000000002</v>
      </c>
    </row>
    <row r="78" spans="2:6">
      <c r="B78" s="2"/>
      <c r="C78" s="3">
        <v>76</v>
      </c>
      <c r="D78" s="31" t="s">
        <v>379</v>
      </c>
      <c r="E78" s="2">
        <v>16.63</v>
      </c>
      <c r="F78" s="2">
        <v>2.2000000000000002</v>
      </c>
    </row>
    <row r="79" spans="2:6">
      <c r="B79" s="2"/>
      <c r="C79" s="3">
        <v>77</v>
      </c>
      <c r="D79" s="31" t="s">
        <v>380</v>
      </c>
      <c r="E79" s="2">
        <v>21.7</v>
      </c>
      <c r="F79" s="2">
        <v>2.2000000000000002</v>
      </c>
    </row>
    <row r="80" spans="2:6">
      <c r="B80" s="2"/>
      <c r="C80" s="3">
        <v>78</v>
      </c>
      <c r="D80" s="31" t="s">
        <v>381</v>
      </c>
      <c r="E80" s="2">
        <v>9.16</v>
      </c>
      <c r="F80" s="2">
        <v>2.2000000000000002</v>
      </c>
    </row>
    <row r="81" spans="2:6">
      <c r="B81" s="2"/>
      <c r="C81" s="3">
        <v>79</v>
      </c>
      <c r="D81" s="31" t="s">
        <v>382</v>
      </c>
      <c r="E81" s="2">
        <v>22.41</v>
      </c>
      <c r="F81" s="2">
        <v>2.2000000000000002</v>
      </c>
    </row>
    <row r="82" spans="2:6">
      <c r="B82" s="2"/>
      <c r="C82" s="3">
        <v>80</v>
      </c>
      <c r="D82" s="31" t="s">
        <v>250</v>
      </c>
      <c r="E82" s="2">
        <v>19.519999999999996</v>
      </c>
      <c r="F82" s="2">
        <v>2.2000000000000002</v>
      </c>
    </row>
    <row r="83" spans="2:6">
      <c r="B83" s="2"/>
      <c r="C83" s="3">
        <v>81</v>
      </c>
      <c r="D83" s="31" t="s">
        <v>251</v>
      </c>
      <c r="E83" s="2">
        <v>19.57</v>
      </c>
      <c r="F83" s="2">
        <v>2.2000000000000002</v>
      </c>
    </row>
    <row r="84" spans="2:6">
      <c r="B84" s="2"/>
      <c r="C84" s="3">
        <v>82</v>
      </c>
      <c r="D84" s="31" t="s">
        <v>252</v>
      </c>
      <c r="E84" s="2">
        <v>9.42</v>
      </c>
      <c r="F84" s="2">
        <v>2.2000000000000002</v>
      </c>
    </row>
    <row r="85" spans="2:6">
      <c r="B85" s="2"/>
      <c r="C85" s="3">
        <v>83</v>
      </c>
      <c r="D85" s="31" t="s">
        <v>253</v>
      </c>
      <c r="E85" s="2">
        <v>16.09</v>
      </c>
      <c r="F85" s="2">
        <v>2.2000000000000002</v>
      </c>
    </row>
    <row r="86" spans="2:6">
      <c r="B86" s="2"/>
      <c r="C86" s="3">
        <v>84</v>
      </c>
      <c r="D86" s="31" t="s">
        <v>254</v>
      </c>
      <c r="E86" s="2">
        <v>19.619999999999997</v>
      </c>
      <c r="F86" s="2">
        <v>2.2000000000000002</v>
      </c>
    </row>
    <row r="87" spans="2:6">
      <c r="B87" s="2"/>
      <c r="C87" s="3">
        <v>85</v>
      </c>
      <c r="D87" s="32" t="s">
        <v>255</v>
      </c>
      <c r="E87" s="2">
        <v>12.739999999999998</v>
      </c>
      <c r="F87" s="2">
        <v>2.2000000000000002</v>
      </c>
    </row>
    <row r="88" spans="2:6">
      <c r="B88" s="2"/>
      <c r="C88" s="3">
        <v>86</v>
      </c>
      <c r="D88" s="32" t="s">
        <v>256</v>
      </c>
      <c r="E88" s="2">
        <v>21.010000000000005</v>
      </c>
      <c r="F88" s="2">
        <v>2.2000000000000002</v>
      </c>
    </row>
    <row r="89" spans="2:6">
      <c r="B89" s="2"/>
      <c r="C89" s="3">
        <v>87</v>
      </c>
      <c r="D89" s="32" t="s">
        <v>257</v>
      </c>
      <c r="E89" s="2">
        <v>23.03</v>
      </c>
      <c r="F89" s="2">
        <v>2.2000000000000002</v>
      </c>
    </row>
    <row r="90" spans="2:6">
      <c r="B90" s="2"/>
      <c r="C90" s="3">
        <v>88</v>
      </c>
      <c r="D90" s="31" t="s">
        <v>258</v>
      </c>
      <c r="E90" s="2">
        <v>26.900000000000002</v>
      </c>
      <c r="F90" s="2">
        <v>2.2000000000000002</v>
      </c>
    </row>
    <row r="91" spans="2:6">
      <c r="B91" s="2"/>
      <c r="C91" s="3">
        <v>89</v>
      </c>
      <c r="D91" s="31" t="s">
        <v>259</v>
      </c>
      <c r="E91" s="2">
        <v>27.65</v>
      </c>
      <c r="F91" s="2">
        <v>2.2000000000000002</v>
      </c>
    </row>
    <row r="92" spans="2:6">
      <c r="B92" s="2"/>
      <c r="C92" s="3">
        <v>90</v>
      </c>
      <c r="D92" s="31" t="s">
        <v>260</v>
      </c>
      <c r="E92" s="2">
        <v>28.400000000000002</v>
      </c>
      <c r="F92" s="2">
        <v>2.2000000000000002</v>
      </c>
    </row>
    <row r="93" spans="2:6">
      <c r="B93" s="2"/>
      <c r="C93" s="3">
        <v>91</v>
      </c>
      <c r="D93" s="31" t="s">
        <v>261</v>
      </c>
      <c r="E93" s="2">
        <v>26.580000000000002</v>
      </c>
      <c r="F93" s="2">
        <v>2.2000000000000002</v>
      </c>
    </row>
    <row r="94" spans="2:6">
      <c r="B94" s="2"/>
      <c r="C94" s="3">
        <v>92</v>
      </c>
      <c r="D94" s="31" t="s">
        <v>262</v>
      </c>
      <c r="E94" s="2">
        <v>24.230000000000004</v>
      </c>
      <c r="F94" s="2">
        <v>2.2000000000000002</v>
      </c>
    </row>
    <row r="95" spans="2:6">
      <c r="B95" s="2"/>
      <c r="C95" s="3">
        <v>93</v>
      </c>
      <c r="D95" s="32" t="s">
        <v>263</v>
      </c>
      <c r="E95" s="2">
        <v>26.38</v>
      </c>
      <c r="F95" s="2">
        <v>2.2000000000000002</v>
      </c>
    </row>
    <row r="96" spans="2:6">
      <c r="B96" s="2"/>
      <c r="C96" s="3">
        <v>94</v>
      </c>
      <c r="D96" s="32" t="s">
        <v>264</v>
      </c>
      <c r="E96" s="2">
        <v>18.929999999999996</v>
      </c>
      <c r="F96" s="2">
        <v>2.2000000000000002</v>
      </c>
    </row>
    <row r="97" spans="2:6">
      <c r="B97" s="2"/>
      <c r="C97" s="3">
        <v>95</v>
      </c>
      <c r="D97" s="32" t="s">
        <v>265</v>
      </c>
      <c r="E97" s="2">
        <v>26.79</v>
      </c>
      <c r="F97" s="2">
        <v>2.2000000000000002</v>
      </c>
    </row>
    <row r="98" spans="2:6">
      <c r="B98" s="2"/>
      <c r="C98" s="3">
        <v>96</v>
      </c>
      <c r="D98" s="31" t="s">
        <v>266</v>
      </c>
      <c r="E98" s="2">
        <v>17.580000000000002</v>
      </c>
      <c r="F98" s="2">
        <v>2.5</v>
      </c>
    </row>
    <row r="99" spans="2:6">
      <c r="B99" s="2"/>
      <c r="C99" s="3">
        <v>97</v>
      </c>
      <c r="D99" s="31" t="s">
        <v>267</v>
      </c>
      <c r="E99" s="2">
        <v>14.219999999999999</v>
      </c>
      <c r="F99" s="2">
        <v>2.5</v>
      </c>
    </row>
    <row r="100" spans="2:6">
      <c r="B100" s="2"/>
      <c r="C100" s="3">
        <v>98</v>
      </c>
      <c r="D100" s="31" t="s">
        <v>268</v>
      </c>
      <c r="E100" s="2">
        <v>30.6</v>
      </c>
      <c r="F100" s="2">
        <v>2.5</v>
      </c>
    </row>
    <row r="101" spans="2:6">
      <c r="B101" s="2"/>
      <c r="C101" s="3">
        <v>99</v>
      </c>
      <c r="D101" s="31" t="s">
        <v>269</v>
      </c>
      <c r="E101" s="2">
        <v>30.529999999999998</v>
      </c>
      <c r="F101" s="2">
        <v>2.5</v>
      </c>
    </row>
    <row r="102" spans="2:6">
      <c r="B102" s="2"/>
      <c r="C102" s="3">
        <v>100</v>
      </c>
      <c r="D102" s="31" t="s">
        <v>270</v>
      </c>
      <c r="E102" s="2">
        <v>21.75</v>
      </c>
      <c r="F102" s="2">
        <v>2.5</v>
      </c>
    </row>
    <row r="103" spans="2:6">
      <c r="B103" s="2"/>
      <c r="C103" s="3">
        <v>101</v>
      </c>
      <c r="D103" s="31" t="s">
        <v>271</v>
      </c>
      <c r="E103" s="2">
        <v>22.82</v>
      </c>
      <c r="F103" s="2">
        <v>2.5</v>
      </c>
    </row>
    <row r="104" spans="2:6">
      <c r="B104" s="2"/>
      <c r="C104" s="3">
        <v>102</v>
      </c>
      <c r="D104" s="31" t="s">
        <v>415</v>
      </c>
      <c r="E104" s="2">
        <v>32.589999999999996</v>
      </c>
      <c r="F104" s="2">
        <v>2.5</v>
      </c>
    </row>
    <row r="105" spans="2:6">
      <c r="B105" s="2"/>
      <c r="C105" s="3">
        <v>103</v>
      </c>
      <c r="D105" s="31" t="s">
        <v>416</v>
      </c>
      <c r="E105" s="2">
        <v>26.560000000000002</v>
      </c>
      <c r="F105" s="2">
        <v>2.5</v>
      </c>
    </row>
    <row r="106" spans="2:6">
      <c r="B106" s="2"/>
      <c r="C106" s="3">
        <v>104</v>
      </c>
      <c r="D106" s="31" t="s">
        <v>417</v>
      </c>
      <c r="E106" s="2">
        <v>35.86</v>
      </c>
      <c r="F106" s="2">
        <v>2.5</v>
      </c>
    </row>
    <row r="107" spans="2:6">
      <c r="B107" s="2"/>
      <c r="C107" s="3">
        <v>105</v>
      </c>
      <c r="D107" s="31" t="s">
        <v>418</v>
      </c>
      <c r="E107" s="2">
        <v>34.160000000000004</v>
      </c>
      <c r="F107" s="2">
        <v>2.5</v>
      </c>
    </row>
    <row r="108" spans="2:6">
      <c r="B108" s="2"/>
      <c r="C108" s="3">
        <v>106</v>
      </c>
      <c r="D108" s="31" t="s">
        <v>419</v>
      </c>
      <c r="E108" s="2">
        <v>31.270000000000003</v>
      </c>
      <c r="F108" s="2">
        <v>2.5</v>
      </c>
    </row>
    <row r="109" spans="2:6">
      <c r="B109" s="2"/>
      <c r="C109" s="3">
        <v>107</v>
      </c>
      <c r="D109" s="31" t="s">
        <v>420</v>
      </c>
      <c r="E109" s="2">
        <v>30.23</v>
      </c>
      <c r="F109" s="2">
        <v>2.5</v>
      </c>
    </row>
    <row r="110" spans="2:6">
      <c r="B110" s="2"/>
      <c r="C110" s="3">
        <v>108</v>
      </c>
      <c r="D110" s="31" t="s">
        <v>274</v>
      </c>
      <c r="E110" s="2">
        <v>16.940000000000001</v>
      </c>
      <c r="F110" s="2">
        <v>2.5</v>
      </c>
    </row>
    <row r="111" spans="2:6">
      <c r="B111" s="2"/>
      <c r="C111" s="3">
        <v>109</v>
      </c>
      <c r="D111" s="31" t="s">
        <v>275</v>
      </c>
      <c r="E111" s="2">
        <v>19.77</v>
      </c>
      <c r="F111" s="2">
        <v>2.5</v>
      </c>
    </row>
    <row r="112" spans="2:6">
      <c r="B112" s="2"/>
      <c r="C112" s="3">
        <v>110</v>
      </c>
      <c r="D112" s="32" t="s">
        <v>276</v>
      </c>
      <c r="E112" s="2">
        <v>34.940000000000005</v>
      </c>
      <c r="F112" s="2">
        <v>2.5</v>
      </c>
    </row>
    <row r="113" spans="2:6">
      <c r="B113" s="2"/>
      <c r="C113" s="3">
        <v>111</v>
      </c>
      <c r="D113" s="32" t="s">
        <v>277</v>
      </c>
      <c r="E113" s="2">
        <v>22.54</v>
      </c>
      <c r="F113" s="2">
        <v>2.5</v>
      </c>
    </row>
    <row r="114" spans="2:6">
      <c r="B114" s="2"/>
      <c r="C114" s="3">
        <v>112</v>
      </c>
      <c r="D114" s="32" t="s">
        <v>278</v>
      </c>
      <c r="E114" s="2">
        <v>25.48</v>
      </c>
      <c r="F114" s="2">
        <v>2.5</v>
      </c>
    </row>
    <row r="115" spans="2:6">
      <c r="B115" s="2"/>
      <c r="C115" s="3">
        <v>113</v>
      </c>
      <c r="D115" s="32" t="s">
        <v>279</v>
      </c>
      <c r="E115" s="2">
        <v>30.389999999999997</v>
      </c>
      <c r="F115" s="2">
        <v>2.5</v>
      </c>
    </row>
    <row r="116" spans="2:6">
      <c r="B116" s="2"/>
      <c r="C116" s="3">
        <v>114</v>
      </c>
      <c r="D116" s="32" t="s">
        <v>280</v>
      </c>
      <c r="E116" s="2">
        <v>20.36</v>
      </c>
      <c r="F116" s="2">
        <v>2.5</v>
      </c>
    </row>
    <row r="117" spans="2:6">
      <c r="B117" s="2"/>
      <c r="C117" s="3">
        <v>115</v>
      </c>
      <c r="D117" s="32" t="s">
        <v>281</v>
      </c>
      <c r="E117" s="2">
        <v>31.299999999999997</v>
      </c>
      <c r="F117" s="2">
        <v>2.5</v>
      </c>
    </row>
    <row r="118" spans="2:6">
      <c r="B118" s="2"/>
      <c r="C118" s="3">
        <v>116</v>
      </c>
      <c r="D118" s="31" t="s">
        <v>282</v>
      </c>
      <c r="E118" s="2">
        <v>27.04</v>
      </c>
      <c r="F118" s="2">
        <v>2.5</v>
      </c>
    </row>
    <row r="119" spans="2:6">
      <c r="B119" s="2"/>
      <c r="C119" s="3">
        <v>117</v>
      </c>
      <c r="D119" s="31" t="s">
        <v>429</v>
      </c>
      <c r="E119" s="2">
        <v>29.139999999999997</v>
      </c>
      <c r="F119" s="2">
        <v>2.5</v>
      </c>
    </row>
    <row r="120" spans="2:6">
      <c r="B120" s="2"/>
      <c r="C120" s="3">
        <v>118</v>
      </c>
      <c r="D120" s="31" t="s">
        <v>430</v>
      </c>
      <c r="E120" s="2">
        <v>32.909999999999997</v>
      </c>
      <c r="F120" s="2">
        <v>2.5</v>
      </c>
    </row>
    <row r="121" spans="2:6">
      <c r="B121" s="2"/>
      <c r="C121" s="3">
        <v>119</v>
      </c>
      <c r="D121" s="31" t="s">
        <v>431</v>
      </c>
      <c r="E121" s="2">
        <v>15.27</v>
      </c>
      <c r="F121" s="2">
        <v>2.5</v>
      </c>
    </row>
    <row r="122" spans="2:6">
      <c r="B122" s="2"/>
      <c r="C122" s="3">
        <v>120</v>
      </c>
      <c r="D122" s="31" t="s">
        <v>432</v>
      </c>
      <c r="E122" s="2">
        <v>20.95</v>
      </c>
      <c r="F122" s="2">
        <v>2.5</v>
      </c>
    </row>
    <row r="123" spans="2:6">
      <c r="B123" s="2"/>
      <c r="C123" s="3">
        <v>121</v>
      </c>
      <c r="D123" s="31" t="s">
        <v>433</v>
      </c>
      <c r="E123" s="2">
        <v>29.13</v>
      </c>
      <c r="F123" s="2">
        <v>2.5</v>
      </c>
    </row>
    <row r="124" spans="2:6">
      <c r="B124" s="2"/>
      <c r="C124" s="3">
        <v>122</v>
      </c>
      <c r="D124" s="31" t="s">
        <v>434</v>
      </c>
      <c r="E124" s="2">
        <v>24.29</v>
      </c>
      <c r="F124" s="2">
        <v>2.5</v>
      </c>
    </row>
    <row r="125" spans="2:6">
      <c r="B125" s="2"/>
      <c r="C125" s="3">
        <v>123</v>
      </c>
      <c r="D125" s="31" t="s">
        <v>288</v>
      </c>
      <c r="E125" s="2">
        <v>17.940000000000001</v>
      </c>
      <c r="F125" s="2">
        <v>2.5</v>
      </c>
    </row>
    <row r="126" spans="2:6">
      <c r="B126" s="2"/>
      <c r="C126" s="3">
        <v>124</v>
      </c>
      <c r="D126" s="31" t="s">
        <v>289</v>
      </c>
      <c r="E126" s="2">
        <v>29.29</v>
      </c>
      <c r="F126" s="2">
        <v>2.5</v>
      </c>
    </row>
    <row r="127" spans="2:6">
      <c r="B127" s="2"/>
      <c r="C127" s="3">
        <v>125</v>
      </c>
      <c r="D127" s="31" t="s">
        <v>290</v>
      </c>
      <c r="E127" s="2">
        <v>26.77</v>
      </c>
      <c r="F127" s="2">
        <v>2.5</v>
      </c>
    </row>
    <row r="128" spans="2:6">
      <c r="B128" s="2"/>
      <c r="C128" s="3">
        <v>126</v>
      </c>
      <c r="D128" s="31" t="s">
        <v>291</v>
      </c>
      <c r="E128" s="2">
        <v>22.9</v>
      </c>
      <c r="F128" s="2">
        <v>2.5</v>
      </c>
    </row>
    <row r="129" spans="2:6">
      <c r="B129" s="2"/>
      <c r="C129" s="3">
        <v>127</v>
      </c>
      <c r="D129" s="31" t="s">
        <v>292</v>
      </c>
      <c r="E129" s="2">
        <v>25.119999999999997</v>
      </c>
      <c r="F129" s="2">
        <v>2.5</v>
      </c>
    </row>
    <row r="130" spans="2:6">
      <c r="B130" s="2"/>
      <c r="C130" s="3">
        <v>128</v>
      </c>
      <c r="D130" s="32" t="s">
        <v>293</v>
      </c>
      <c r="E130" s="2">
        <v>24.88</v>
      </c>
      <c r="F130" s="2">
        <v>2.5</v>
      </c>
    </row>
    <row r="131" spans="2:6">
      <c r="B131" s="2"/>
      <c r="C131" s="3">
        <v>129</v>
      </c>
      <c r="D131" s="32" t="s">
        <v>294</v>
      </c>
      <c r="E131" s="2">
        <v>25.5</v>
      </c>
      <c r="F131" s="2">
        <v>2.5</v>
      </c>
    </row>
    <row r="132" spans="2:6">
      <c r="B132" s="2"/>
      <c r="C132" s="3">
        <v>130</v>
      </c>
      <c r="D132" s="31" t="s">
        <v>295</v>
      </c>
      <c r="E132" s="2">
        <v>21.22</v>
      </c>
      <c r="F132" s="2">
        <v>2.5</v>
      </c>
    </row>
    <row r="133" spans="2:6">
      <c r="B133" s="2"/>
      <c r="C133" s="3">
        <v>131</v>
      </c>
      <c r="D133" s="31" t="s">
        <v>296</v>
      </c>
      <c r="E133" s="2">
        <v>18.510000000000002</v>
      </c>
      <c r="F133" s="2">
        <v>2.5</v>
      </c>
    </row>
    <row r="134" spans="2:6">
      <c r="B134" s="2"/>
      <c r="C134" s="3">
        <v>132</v>
      </c>
      <c r="D134" s="31" t="s">
        <v>297</v>
      </c>
      <c r="E134" s="2">
        <v>17.05</v>
      </c>
      <c r="F134" s="2">
        <v>2.5</v>
      </c>
    </row>
    <row r="135" spans="2:6">
      <c r="B135" s="2"/>
      <c r="C135" s="3">
        <v>133</v>
      </c>
      <c r="D135" s="31" t="s">
        <v>298</v>
      </c>
      <c r="E135" s="2">
        <v>18.510000000000002</v>
      </c>
      <c r="F135" s="2">
        <v>2.5</v>
      </c>
    </row>
    <row r="136" spans="2:6">
      <c r="B136" s="2"/>
      <c r="C136" s="3">
        <v>134</v>
      </c>
      <c r="D136" s="31" t="s">
        <v>299</v>
      </c>
      <c r="E136" s="2">
        <v>19.989999999999998</v>
      </c>
      <c r="F136" s="2">
        <v>2.5</v>
      </c>
    </row>
    <row r="137" spans="2:6">
      <c r="B137" s="2"/>
      <c r="C137" s="3">
        <v>135</v>
      </c>
      <c r="D137" s="31" t="s">
        <v>300</v>
      </c>
      <c r="E137" s="2">
        <v>14.86</v>
      </c>
      <c r="F137" s="2">
        <v>2.5</v>
      </c>
    </row>
    <row r="138" spans="2:6">
      <c r="B138" s="2"/>
      <c r="C138" s="3">
        <v>136</v>
      </c>
      <c r="D138" s="31" t="s">
        <v>301</v>
      </c>
      <c r="E138" s="2">
        <v>29.110000000000003</v>
      </c>
      <c r="F138" s="2">
        <v>2.5</v>
      </c>
    </row>
    <row r="139" spans="2:6">
      <c r="B139" s="2"/>
      <c r="C139" s="3">
        <v>137</v>
      </c>
      <c r="D139" s="31" t="s">
        <v>302</v>
      </c>
      <c r="E139" s="2">
        <v>12.080000000000002</v>
      </c>
      <c r="F139" s="2">
        <v>2.5</v>
      </c>
    </row>
    <row r="140" spans="2:6">
      <c r="B140" s="2"/>
      <c r="C140" s="3">
        <v>138</v>
      </c>
      <c r="D140" s="31" t="s">
        <v>303</v>
      </c>
      <c r="E140" s="2">
        <v>27.939999999999998</v>
      </c>
      <c r="F140" s="2">
        <v>2.5</v>
      </c>
    </row>
    <row r="141" spans="2:6">
      <c r="B141" s="2"/>
      <c r="C141" s="3">
        <v>139</v>
      </c>
      <c r="D141" s="32" t="s">
        <v>304</v>
      </c>
      <c r="E141" s="2">
        <v>16.32</v>
      </c>
      <c r="F141" s="2">
        <v>2.5</v>
      </c>
    </row>
    <row r="142" spans="2:6">
      <c r="B142" s="2"/>
      <c r="C142" s="3">
        <v>140</v>
      </c>
      <c r="D142" s="32" t="s">
        <v>305</v>
      </c>
      <c r="E142" s="2">
        <v>23.16</v>
      </c>
      <c r="F142" s="2">
        <v>2.5</v>
      </c>
    </row>
    <row r="143" spans="2:6">
      <c r="B143" s="2"/>
      <c r="C143" s="3">
        <v>141</v>
      </c>
      <c r="D143" s="32" t="s">
        <v>306</v>
      </c>
      <c r="E143" s="2">
        <v>18.59</v>
      </c>
      <c r="F143" s="2">
        <v>2.5</v>
      </c>
    </row>
    <row r="144" spans="2:6">
      <c r="B144" s="2"/>
      <c r="C144" s="3">
        <v>142</v>
      </c>
      <c r="D144" s="31" t="s">
        <v>307</v>
      </c>
      <c r="E144" s="2">
        <v>23.04</v>
      </c>
      <c r="F144" s="2">
        <v>9.6</v>
      </c>
    </row>
    <row r="145" spans="2:6">
      <c r="B145" s="2"/>
      <c r="C145" s="3">
        <v>143</v>
      </c>
      <c r="D145" s="31" t="s">
        <v>308</v>
      </c>
      <c r="E145" s="2">
        <v>26</v>
      </c>
      <c r="F145" s="2">
        <v>9.6</v>
      </c>
    </row>
    <row r="146" spans="2:6">
      <c r="B146" s="2"/>
      <c r="C146" s="3">
        <v>144</v>
      </c>
      <c r="D146" s="31" t="s">
        <v>309</v>
      </c>
      <c r="E146" s="2">
        <v>17.03</v>
      </c>
      <c r="F146" s="2">
        <v>9.6</v>
      </c>
    </row>
    <row r="147" spans="2:6">
      <c r="B147" s="2"/>
      <c r="C147" s="3">
        <v>145</v>
      </c>
      <c r="D147" s="31" t="s">
        <v>310</v>
      </c>
      <c r="E147" s="2">
        <v>26.99</v>
      </c>
      <c r="F147" s="2">
        <v>9.6</v>
      </c>
    </row>
    <row r="148" spans="2:6">
      <c r="B148" s="2"/>
      <c r="C148" s="3">
        <v>146</v>
      </c>
      <c r="D148" s="31" t="s">
        <v>311</v>
      </c>
      <c r="E148" s="2">
        <v>30.24</v>
      </c>
      <c r="F148" s="2">
        <v>9.6</v>
      </c>
    </row>
    <row r="149" spans="2:6">
      <c r="B149" s="2"/>
      <c r="C149" s="3">
        <v>147</v>
      </c>
      <c r="D149" s="31" t="s">
        <v>312</v>
      </c>
      <c r="E149" s="2">
        <v>27.92</v>
      </c>
      <c r="F149" s="2">
        <v>9.6</v>
      </c>
    </row>
    <row r="150" spans="2:6">
      <c r="B150" s="2"/>
      <c r="C150" s="3">
        <v>148</v>
      </c>
      <c r="D150" s="31" t="s">
        <v>313</v>
      </c>
      <c r="E150" s="2">
        <v>21.13</v>
      </c>
      <c r="F150" s="2">
        <v>9.6</v>
      </c>
    </row>
    <row r="151" spans="2:6">
      <c r="B151" s="2"/>
      <c r="C151" s="3">
        <v>149</v>
      </c>
      <c r="D151" s="31" t="s">
        <v>314</v>
      </c>
      <c r="E151" s="2">
        <v>19.600000000000001</v>
      </c>
      <c r="F151" s="2">
        <v>9.6</v>
      </c>
    </row>
    <row r="152" spans="2:6">
      <c r="B152" s="2"/>
      <c r="C152" s="3">
        <v>150</v>
      </c>
      <c r="D152" s="31" t="s">
        <v>315</v>
      </c>
      <c r="E152" s="2">
        <v>19.600000000000001</v>
      </c>
      <c r="F152" s="2">
        <v>9.6</v>
      </c>
    </row>
    <row r="153" spans="2:6">
      <c r="B153" s="2"/>
      <c r="C153" s="3">
        <v>151</v>
      </c>
      <c r="D153" s="32" t="s">
        <v>316</v>
      </c>
      <c r="E153" s="2">
        <v>27.4</v>
      </c>
      <c r="F153" s="2">
        <v>9.6</v>
      </c>
    </row>
    <row r="154" spans="2:6">
      <c r="B154" s="2"/>
      <c r="C154" s="3">
        <v>152</v>
      </c>
      <c r="D154" s="32" t="s">
        <v>317</v>
      </c>
      <c r="E154" s="2">
        <v>23.699999999999996</v>
      </c>
      <c r="F154" s="2">
        <v>9.6</v>
      </c>
    </row>
    <row r="155" spans="2:6">
      <c r="B155" s="2"/>
      <c r="C155" s="3">
        <v>153</v>
      </c>
      <c r="D155" s="32" t="s">
        <v>318</v>
      </c>
      <c r="E155" s="2">
        <v>18.200000000000003</v>
      </c>
      <c r="F155" s="2">
        <v>9.6</v>
      </c>
    </row>
    <row r="156" spans="2:6">
      <c r="B156" s="2"/>
      <c r="C156" s="3">
        <v>154</v>
      </c>
      <c r="D156" s="31" t="s">
        <v>319</v>
      </c>
      <c r="E156" s="2">
        <v>14.729999999999999</v>
      </c>
      <c r="F156" s="2">
        <v>3.5</v>
      </c>
    </row>
    <row r="157" spans="2:6">
      <c r="B157" s="2"/>
      <c r="C157" s="3">
        <v>155</v>
      </c>
      <c r="D157" s="31" t="s">
        <v>320</v>
      </c>
      <c r="E157" s="2">
        <v>12.03</v>
      </c>
      <c r="F157" s="2">
        <v>3.5</v>
      </c>
    </row>
    <row r="158" spans="2:6">
      <c r="B158" s="2"/>
      <c r="C158" s="3">
        <v>156</v>
      </c>
      <c r="D158" s="32" t="s">
        <v>183</v>
      </c>
      <c r="E158" s="2">
        <v>8.4599999999999991</v>
      </c>
      <c r="F158" s="2">
        <v>3.5</v>
      </c>
    </row>
    <row r="159" spans="2:6">
      <c r="B159" s="2"/>
      <c r="C159" s="3">
        <v>157</v>
      </c>
      <c r="D159" s="31" t="s">
        <v>184</v>
      </c>
      <c r="E159" s="2">
        <v>6.68</v>
      </c>
      <c r="F159" s="2">
        <v>1.8</v>
      </c>
    </row>
    <row r="160" spans="2:6">
      <c r="B160" s="2"/>
      <c r="C160" s="3">
        <v>158</v>
      </c>
      <c r="D160" s="31" t="s">
        <v>185</v>
      </c>
      <c r="E160" s="2">
        <v>5.51</v>
      </c>
      <c r="F160" s="2">
        <v>1.8</v>
      </c>
    </row>
    <row r="161" spans="2:6">
      <c r="B161" s="2"/>
      <c r="C161" s="3">
        <v>159</v>
      </c>
      <c r="D161" s="31" t="s">
        <v>186</v>
      </c>
      <c r="E161" s="2">
        <v>13.629999999999999</v>
      </c>
      <c r="F161" s="2">
        <v>7.4</v>
      </c>
    </row>
    <row r="162" spans="2:6">
      <c r="B162" s="2"/>
      <c r="C162" s="3">
        <v>160</v>
      </c>
      <c r="D162" s="31" t="s">
        <v>187</v>
      </c>
      <c r="E162" s="2">
        <v>11.19</v>
      </c>
      <c r="F162" s="2">
        <v>7.4</v>
      </c>
    </row>
    <row r="163" spans="2:6">
      <c r="B163" s="2"/>
      <c r="C163" s="3">
        <v>161</v>
      </c>
      <c r="D163" s="31" t="s">
        <v>188</v>
      </c>
      <c r="E163" s="2">
        <v>10.050000000000001</v>
      </c>
      <c r="F163" s="2">
        <v>7.4</v>
      </c>
    </row>
    <row r="164" spans="2:6">
      <c r="B164" s="2"/>
      <c r="C164" s="3">
        <v>162</v>
      </c>
      <c r="D164" s="31" t="s">
        <v>189</v>
      </c>
      <c r="E164" s="2">
        <v>13.46</v>
      </c>
      <c r="F164" s="2">
        <v>7.4</v>
      </c>
    </row>
    <row r="165" spans="2:6">
      <c r="B165" s="2"/>
      <c r="C165" s="3">
        <v>163</v>
      </c>
      <c r="D165" s="31" t="s">
        <v>190</v>
      </c>
      <c r="E165" s="2">
        <v>12.87</v>
      </c>
      <c r="F165" s="2">
        <v>7.4</v>
      </c>
    </row>
    <row r="166" spans="2:6">
      <c r="B166" s="2"/>
      <c r="C166" s="3">
        <v>164</v>
      </c>
      <c r="D166" s="31" t="s">
        <v>191</v>
      </c>
      <c r="E166" s="2">
        <v>16.22</v>
      </c>
      <c r="F166" s="2">
        <v>7.4</v>
      </c>
    </row>
    <row r="167" spans="2:6">
      <c r="B167" s="2"/>
      <c r="C167" s="3">
        <v>165</v>
      </c>
      <c r="D167" s="31" t="s">
        <v>192</v>
      </c>
      <c r="E167" s="2">
        <v>20.61</v>
      </c>
      <c r="F167" s="2">
        <v>7.4</v>
      </c>
    </row>
    <row r="168" spans="2:6">
      <c r="B168" s="2"/>
      <c r="C168" s="3">
        <v>166</v>
      </c>
      <c r="D168" s="31" t="s">
        <v>193</v>
      </c>
      <c r="E168" s="2">
        <v>13.870000000000001</v>
      </c>
      <c r="F168" s="2">
        <v>7.4</v>
      </c>
    </row>
    <row r="169" spans="2:6">
      <c r="B169" s="2"/>
      <c r="C169" s="3">
        <v>167</v>
      </c>
      <c r="D169" s="31" t="s">
        <v>194</v>
      </c>
      <c r="E169" s="2">
        <v>14.86</v>
      </c>
      <c r="F169" s="2">
        <v>7.4</v>
      </c>
    </row>
    <row r="170" spans="2:6">
      <c r="B170" s="2"/>
      <c r="C170" s="3">
        <v>168</v>
      </c>
      <c r="D170" s="31" t="s">
        <v>195</v>
      </c>
      <c r="E170" s="2">
        <v>6.5900000000000007</v>
      </c>
      <c r="F170" s="2">
        <v>7.4</v>
      </c>
    </row>
    <row r="171" spans="2:6">
      <c r="B171" s="2"/>
      <c r="C171" s="3">
        <v>169</v>
      </c>
      <c r="D171" s="31" t="s">
        <v>196</v>
      </c>
      <c r="E171" s="2">
        <v>10.85</v>
      </c>
      <c r="F171" s="2">
        <v>7.4</v>
      </c>
    </row>
    <row r="172" spans="2:6">
      <c r="B172" s="2"/>
      <c r="C172" s="3">
        <v>170</v>
      </c>
      <c r="D172" s="31" t="s">
        <v>197</v>
      </c>
      <c r="E172" s="2">
        <v>10.99</v>
      </c>
      <c r="F172" s="2">
        <v>7.4</v>
      </c>
    </row>
    <row r="173" spans="2:6">
      <c r="B173" s="2"/>
      <c r="C173" s="3">
        <v>171</v>
      </c>
      <c r="D173" s="31" t="s">
        <v>198</v>
      </c>
      <c r="E173" s="2">
        <v>8.6300000000000008</v>
      </c>
      <c r="F173" s="2">
        <v>7.4</v>
      </c>
    </row>
    <row r="174" spans="2:6">
      <c r="B174" s="2"/>
      <c r="C174" s="3">
        <v>172</v>
      </c>
      <c r="D174" s="31" t="s">
        <v>199</v>
      </c>
      <c r="E174" s="2">
        <v>7.29</v>
      </c>
      <c r="F174" s="2">
        <v>7.4</v>
      </c>
    </row>
    <row r="175" spans="2:6">
      <c r="B175" s="2"/>
      <c r="C175" s="3">
        <v>173</v>
      </c>
      <c r="D175" s="31" t="s">
        <v>200</v>
      </c>
      <c r="E175" s="2">
        <v>9.7099999999999991</v>
      </c>
      <c r="F175" s="2">
        <v>7.4</v>
      </c>
    </row>
    <row r="176" spans="2:6">
      <c r="B176" s="2"/>
      <c r="C176" s="3">
        <v>174</v>
      </c>
      <c r="D176" s="31" t="s">
        <v>201</v>
      </c>
      <c r="E176" s="2">
        <v>8.32</v>
      </c>
      <c r="F176" s="2">
        <v>7.4</v>
      </c>
    </row>
    <row r="177" spans="2:6">
      <c r="B177" s="2"/>
      <c r="C177" s="3">
        <v>175</v>
      </c>
      <c r="D177" s="32" t="s">
        <v>202</v>
      </c>
      <c r="E177" s="2">
        <v>8.94</v>
      </c>
      <c r="F177" s="2">
        <v>7.4</v>
      </c>
    </row>
    <row r="178" spans="2:6">
      <c r="B178" s="2"/>
      <c r="C178" s="3">
        <v>176</v>
      </c>
      <c r="D178" s="32" t="s">
        <v>203</v>
      </c>
      <c r="E178" s="2">
        <v>10.040000000000001</v>
      </c>
      <c r="F178" s="2">
        <v>7.4</v>
      </c>
    </row>
    <row r="179" spans="2:6">
      <c r="B179" s="2"/>
      <c r="C179" s="3">
        <v>177</v>
      </c>
      <c r="D179" s="32" t="s">
        <v>336</v>
      </c>
      <c r="E179" s="2">
        <v>7.41</v>
      </c>
      <c r="F179" s="2">
        <v>7.4</v>
      </c>
    </row>
    <row r="180" spans="2:6">
      <c r="B180" s="2"/>
      <c r="C180" s="3">
        <v>178</v>
      </c>
      <c r="D180" s="31" t="s">
        <v>337</v>
      </c>
      <c r="E180" s="2">
        <v>18.670000000000002</v>
      </c>
      <c r="F180" s="2">
        <v>2.5</v>
      </c>
    </row>
    <row r="181" spans="2:6">
      <c r="B181" s="2"/>
      <c r="C181" s="3">
        <v>179</v>
      </c>
      <c r="D181" s="31" t="s">
        <v>338</v>
      </c>
      <c r="E181" s="2">
        <v>26.39</v>
      </c>
      <c r="F181" s="2">
        <v>2.5</v>
      </c>
    </row>
    <row r="182" spans="2:6">
      <c r="B182" s="2"/>
      <c r="C182" s="3">
        <v>180</v>
      </c>
      <c r="D182" s="31" t="s">
        <v>339</v>
      </c>
      <c r="E182" s="2">
        <v>18.16</v>
      </c>
      <c r="F182" s="2">
        <v>2.5</v>
      </c>
    </row>
    <row r="183" spans="2:6">
      <c r="B183" s="2"/>
      <c r="C183" s="3">
        <v>181</v>
      </c>
      <c r="D183" s="31" t="s">
        <v>340</v>
      </c>
      <c r="E183" s="2">
        <v>28.400000000000002</v>
      </c>
      <c r="F183" s="2">
        <v>2.5</v>
      </c>
    </row>
    <row r="184" spans="2:6">
      <c r="B184" s="2"/>
      <c r="C184" s="3">
        <v>182</v>
      </c>
      <c r="D184" s="31" t="s">
        <v>205</v>
      </c>
      <c r="E184" s="2">
        <v>23.39</v>
      </c>
      <c r="F184" s="2">
        <v>2.5</v>
      </c>
    </row>
    <row r="185" spans="2:6">
      <c r="B185" s="2"/>
      <c r="C185" s="3">
        <v>183</v>
      </c>
      <c r="D185" s="31" t="s">
        <v>206</v>
      </c>
      <c r="E185" s="2">
        <v>19.660000000000004</v>
      </c>
      <c r="F185" s="2">
        <v>2.5</v>
      </c>
    </row>
    <row r="186" spans="2:6">
      <c r="B186" s="2"/>
      <c r="C186" s="3">
        <v>184</v>
      </c>
      <c r="D186" s="32" t="s">
        <v>207</v>
      </c>
      <c r="E186" s="2">
        <v>17.169999999999998</v>
      </c>
      <c r="F186" s="2">
        <v>2.5</v>
      </c>
    </row>
    <row r="187" spans="2:6">
      <c r="B187" s="2"/>
      <c r="C187" s="3">
        <v>185</v>
      </c>
      <c r="D187" s="32" t="s">
        <v>208</v>
      </c>
      <c r="E187" s="2">
        <v>23.44</v>
      </c>
      <c r="F187" s="2">
        <v>2.5</v>
      </c>
    </row>
    <row r="188" spans="2:6">
      <c r="B188" s="2"/>
      <c r="C188" s="3">
        <v>186</v>
      </c>
      <c r="D188" s="31" t="s">
        <v>209</v>
      </c>
      <c r="E188" s="2">
        <v>18.29</v>
      </c>
      <c r="F188" s="2">
        <v>5.8</v>
      </c>
    </row>
    <row r="189" spans="2:6">
      <c r="B189" s="2"/>
      <c r="C189" s="3">
        <v>187</v>
      </c>
      <c r="D189" s="31" t="s">
        <v>210</v>
      </c>
      <c r="E189" s="2">
        <v>14.95</v>
      </c>
      <c r="F189" s="2">
        <v>5.8</v>
      </c>
    </row>
    <row r="190" spans="2:6">
      <c r="B190" s="2"/>
      <c r="C190" s="3">
        <v>188</v>
      </c>
      <c r="D190" s="31" t="s">
        <v>211</v>
      </c>
      <c r="E190" s="2">
        <v>10.42</v>
      </c>
      <c r="F190" s="2">
        <v>2</v>
      </c>
    </row>
    <row r="191" spans="2:6">
      <c r="B191" s="2"/>
      <c r="C191" s="3">
        <v>189</v>
      </c>
      <c r="D191" s="31" t="s">
        <v>212</v>
      </c>
      <c r="E191" s="2">
        <v>4.8499999999999996</v>
      </c>
      <c r="F191" s="2">
        <v>2</v>
      </c>
    </row>
    <row r="192" spans="2:6">
      <c r="B192" s="2"/>
      <c r="C192" s="3">
        <v>190</v>
      </c>
      <c r="D192" s="31" t="s">
        <v>213</v>
      </c>
      <c r="E192" s="2">
        <v>16.739999999999998</v>
      </c>
      <c r="F192" s="2">
        <v>2</v>
      </c>
    </row>
    <row r="193" spans="2:6">
      <c r="B193" s="2"/>
      <c r="C193" s="3">
        <v>191</v>
      </c>
      <c r="D193" s="31" t="s">
        <v>214</v>
      </c>
      <c r="E193" s="2">
        <v>38.059999999999995</v>
      </c>
      <c r="F193" s="2">
        <v>5.8</v>
      </c>
    </row>
    <row r="194" spans="2:6">
      <c r="B194" s="2"/>
      <c r="C194" s="3">
        <v>192</v>
      </c>
      <c r="D194" s="31" t="s">
        <v>347</v>
      </c>
      <c r="E194" s="2">
        <v>42.150000000000006</v>
      </c>
      <c r="F194" s="2">
        <v>5.8</v>
      </c>
    </row>
    <row r="195" spans="2:6">
      <c r="B195" s="2"/>
      <c r="C195" s="3">
        <v>193</v>
      </c>
      <c r="D195" s="32" t="s">
        <v>348</v>
      </c>
      <c r="E195" s="2">
        <v>26.459999999999997</v>
      </c>
      <c r="F195" s="2">
        <v>5.8</v>
      </c>
    </row>
    <row r="196" spans="2:6">
      <c r="B196" s="2"/>
      <c r="C196" s="3">
        <v>194</v>
      </c>
      <c r="D196" s="31" t="s">
        <v>349</v>
      </c>
      <c r="E196" s="2">
        <v>32.68</v>
      </c>
      <c r="F196" s="2">
        <v>8.5</v>
      </c>
    </row>
    <row r="197" spans="2:6">
      <c r="B197" s="2"/>
      <c r="C197" s="3">
        <v>195</v>
      </c>
      <c r="D197" s="31" t="s">
        <v>350</v>
      </c>
      <c r="E197" s="2">
        <v>30.22</v>
      </c>
      <c r="F197" s="2">
        <v>8.5</v>
      </c>
    </row>
    <row r="198" spans="2:6">
      <c r="B198" s="2"/>
      <c r="C198" s="3">
        <v>196</v>
      </c>
      <c r="D198" s="32" t="s">
        <v>351</v>
      </c>
      <c r="E198" s="2">
        <v>20.419999999999998</v>
      </c>
      <c r="F198" s="2">
        <v>8.5</v>
      </c>
    </row>
    <row r="199" spans="2:6">
      <c r="B199" s="2"/>
      <c r="C199" s="3">
        <v>197</v>
      </c>
      <c r="D199" s="32" t="s">
        <v>352</v>
      </c>
      <c r="E199" s="2">
        <v>9.32</v>
      </c>
      <c r="F199" s="2">
        <v>2.1</v>
      </c>
    </row>
    <row r="200" spans="2:6">
      <c r="B200" s="2"/>
      <c r="C200" s="3">
        <v>198</v>
      </c>
      <c r="D200" s="32" t="s">
        <v>223</v>
      </c>
      <c r="E200" s="2">
        <v>7.9700000000000006</v>
      </c>
      <c r="F200" s="2">
        <v>2.1</v>
      </c>
    </row>
    <row r="201" spans="2:6">
      <c r="B201" s="2"/>
      <c r="C201" s="3">
        <v>199</v>
      </c>
      <c r="D201" s="32" t="s">
        <v>224</v>
      </c>
      <c r="E201" s="2">
        <v>11.05</v>
      </c>
      <c r="F201" s="2">
        <v>2.1</v>
      </c>
    </row>
    <row r="202" spans="2:6">
      <c r="B202" s="2"/>
      <c r="C202" s="3">
        <v>200</v>
      </c>
      <c r="D202" s="31" t="s">
        <v>225</v>
      </c>
      <c r="E202" s="2">
        <v>2.86</v>
      </c>
      <c r="F202" s="2">
        <v>2.1</v>
      </c>
    </row>
    <row r="203" spans="2:6">
      <c r="B203" s="2"/>
      <c r="C203" s="3">
        <v>201</v>
      </c>
      <c r="D203" s="31" t="s">
        <v>226</v>
      </c>
      <c r="E203" s="2">
        <v>4.24</v>
      </c>
      <c r="F203" s="2">
        <v>2.1</v>
      </c>
    </row>
    <row r="204" spans="2:6">
      <c r="B204" s="2"/>
      <c r="C204" s="3">
        <v>202</v>
      </c>
      <c r="D204" s="32" t="s">
        <v>227</v>
      </c>
      <c r="E204" s="2">
        <v>7.2799999999999994</v>
      </c>
      <c r="F204" s="2">
        <v>2.1</v>
      </c>
    </row>
    <row r="205" spans="2:6">
      <c r="B205" s="2"/>
      <c r="C205" s="3">
        <v>203</v>
      </c>
      <c r="D205" s="31" t="s">
        <v>228</v>
      </c>
      <c r="E205" s="2">
        <v>17.36</v>
      </c>
      <c r="F205" s="2">
        <v>2.5</v>
      </c>
    </row>
    <row r="206" spans="2:6">
      <c r="B206" s="2"/>
      <c r="C206" s="3">
        <v>204</v>
      </c>
      <c r="D206" s="32" t="s">
        <v>229</v>
      </c>
      <c r="E206" s="2">
        <v>17.790000000000003</v>
      </c>
      <c r="F206" s="2">
        <v>2.5</v>
      </c>
    </row>
    <row r="207" spans="2:6">
      <c r="B207" s="2"/>
      <c r="C207" s="3">
        <v>205</v>
      </c>
      <c r="D207" s="31" t="s">
        <v>230</v>
      </c>
      <c r="E207" s="2">
        <v>10.74</v>
      </c>
      <c r="F207" s="2">
        <v>2.5</v>
      </c>
    </row>
    <row r="208" spans="2:6">
      <c r="B208" s="2"/>
      <c r="C208" s="3">
        <v>206</v>
      </c>
      <c r="D208" s="31" t="s">
        <v>231</v>
      </c>
      <c r="E208" s="2">
        <v>18.989999999999998</v>
      </c>
      <c r="F208" s="2">
        <v>2.5</v>
      </c>
    </row>
    <row r="209" spans="2:6">
      <c r="B209" s="2"/>
      <c r="C209" s="3">
        <v>207</v>
      </c>
      <c r="D209" s="31" t="s">
        <v>232</v>
      </c>
      <c r="E209" s="2">
        <v>16.97</v>
      </c>
      <c r="F209" s="2">
        <v>2.5</v>
      </c>
    </row>
    <row r="210" spans="2:6">
      <c r="B210" s="2"/>
      <c r="C210" s="3">
        <v>208</v>
      </c>
      <c r="D210" s="31" t="s">
        <v>233</v>
      </c>
      <c r="E210" s="2">
        <v>7.42</v>
      </c>
      <c r="F210" s="2">
        <v>2.5</v>
      </c>
    </row>
    <row r="211" spans="2:6">
      <c r="B211" s="2"/>
      <c r="C211" s="3">
        <v>209</v>
      </c>
      <c r="D211" s="31" t="s">
        <v>234</v>
      </c>
      <c r="E211" s="2">
        <v>18.579999999999998</v>
      </c>
      <c r="F211" s="2">
        <v>2.5</v>
      </c>
    </row>
    <row r="212" spans="2:6">
      <c r="B212" s="2"/>
      <c r="C212" s="3">
        <v>210</v>
      </c>
      <c r="D212" s="32" t="s">
        <v>235</v>
      </c>
      <c r="E212" s="2">
        <v>16.909999999999997</v>
      </c>
      <c r="F212" s="2">
        <v>2.5</v>
      </c>
    </row>
    <row r="213" spans="2:6">
      <c r="B213" s="2"/>
      <c r="C213" s="3">
        <v>211</v>
      </c>
      <c r="D213" s="32" t="s">
        <v>236</v>
      </c>
      <c r="E213" s="2">
        <v>22.77</v>
      </c>
      <c r="F213" s="2">
        <v>2.5</v>
      </c>
    </row>
    <row r="214" spans="2:6">
      <c r="B214" s="2"/>
      <c r="C214" s="3">
        <v>212</v>
      </c>
      <c r="D214" s="32" t="s">
        <v>237</v>
      </c>
      <c r="E214" s="2">
        <v>14.46</v>
      </c>
      <c r="F214" s="2">
        <v>2.5</v>
      </c>
    </row>
    <row r="215" spans="2:6">
      <c r="B215" s="2"/>
      <c r="C215" s="3">
        <v>213</v>
      </c>
      <c r="D215" s="31" t="s">
        <v>238</v>
      </c>
      <c r="E215" s="2">
        <v>19.660000000000004</v>
      </c>
      <c r="F215" s="2">
        <v>2</v>
      </c>
    </row>
    <row r="216" spans="2:6">
      <c r="B216" s="2"/>
      <c r="C216" s="3">
        <v>214</v>
      </c>
      <c r="D216" s="31" t="s">
        <v>239</v>
      </c>
      <c r="E216" s="2">
        <v>13.89</v>
      </c>
      <c r="F216" s="2">
        <v>2</v>
      </c>
    </row>
    <row r="217" spans="2:6">
      <c r="B217" s="2"/>
      <c r="C217" s="3">
        <v>215</v>
      </c>
      <c r="D217" s="31" t="s">
        <v>240</v>
      </c>
      <c r="E217" s="2">
        <v>12.49</v>
      </c>
      <c r="F217" s="2">
        <v>3.2</v>
      </c>
    </row>
    <row r="218" spans="2:6">
      <c r="B218" s="2"/>
      <c r="C218" s="3">
        <v>216</v>
      </c>
      <c r="D218" s="31" t="s">
        <v>241</v>
      </c>
      <c r="E218" s="2">
        <v>12.889999999999999</v>
      </c>
      <c r="F218" s="2">
        <v>3.2</v>
      </c>
    </row>
    <row r="219" spans="2:6">
      <c r="B219" s="2"/>
      <c r="C219" s="3">
        <v>217</v>
      </c>
      <c r="D219" s="31" t="s">
        <v>242</v>
      </c>
      <c r="E219" s="2">
        <v>18.73</v>
      </c>
      <c r="F219" s="2">
        <v>3.2</v>
      </c>
    </row>
    <row r="220" spans="2:6">
      <c r="B220" s="2"/>
      <c r="C220" s="3">
        <v>218</v>
      </c>
      <c r="D220" s="31" t="s">
        <v>243</v>
      </c>
      <c r="E220" s="2">
        <v>9.4199999999999982</v>
      </c>
      <c r="F220" s="2">
        <v>3.2</v>
      </c>
    </row>
    <row r="221" spans="2:6">
      <c r="B221" s="2"/>
      <c r="C221" s="3">
        <v>219</v>
      </c>
      <c r="D221" s="31" t="s">
        <v>244</v>
      </c>
      <c r="E221" s="2">
        <v>19.220000000000002</v>
      </c>
      <c r="F221" s="2">
        <v>3.2</v>
      </c>
    </row>
    <row r="222" spans="2:6">
      <c r="B222" s="2"/>
      <c r="C222" s="3">
        <v>220</v>
      </c>
      <c r="D222" s="31" t="s">
        <v>245</v>
      </c>
      <c r="E222" s="2">
        <v>6.66</v>
      </c>
      <c r="F222" s="2">
        <v>3.2</v>
      </c>
    </row>
    <row r="223" spans="2:6">
      <c r="B223" s="2"/>
      <c r="C223" s="3">
        <v>221</v>
      </c>
      <c r="D223" s="31" t="s">
        <v>246</v>
      </c>
      <c r="E223" s="2">
        <v>6.09</v>
      </c>
      <c r="F223" s="2">
        <v>3.2</v>
      </c>
    </row>
    <row r="224" spans="2:6">
      <c r="B224" s="2"/>
      <c r="C224" s="3">
        <v>222</v>
      </c>
      <c r="D224" s="32" t="s">
        <v>247</v>
      </c>
      <c r="E224" s="2">
        <v>14.49</v>
      </c>
      <c r="F224" s="2">
        <v>1.8</v>
      </c>
    </row>
    <row r="225" spans="2:6">
      <c r="B225" s="2"/>
      <c r="C225" s="3">
        <v>223</v>
      </c>
      <c r="D225" s="32" t="s">
        <v>248</v>
      </c>
      <c r="E225" s="2">
        <v>6.8100000000000005</v>
      </c>
      <c r="F225" s="2">
        <v>1.8</v>
      </c>
    </row>
    <row r="226" spans="2:6">
      <c r="B226" s="2"/>
      <c r="C226" s="3">
        <v>224</v>
      </c>
      <c r="D226" s="32" t="s">
        <v>249</v>
      </c>
      <c r="E226" s="2">
        <v>10.649999999999999</v>
      </c>
      <c r="F226" s="2">
        <v>1.8</v>
      </c>
    </row>
    <row r="227" spans="2:6">
      <c r="B227" s="2"/>
      <c r="C227" s="3">
        <v>225</v>
      </c>
      <c r="D227" s="31" t="s">
        <v>132</v>
      </c>
      <c r="E227" s="2">
        <v>18.18</v>
      </c>
      <c r="F227" s="2">
        <v>1.8</v>
      </c>
    </row>
    <row r="228" spans="2:6">
      <c r="B228" s="2"/>
      <c r="C228" s="3">
        <v>226</v>
      </c>
      <c r="D228" s="32" t="s">
        <v>133</v>
      </c>
      <c r="E228" s="2">
        <v>6.6000000000000005</v>
      </c>
      <c r="F228" s="2">
        <v>1.8</v>
      </c>
    </row>
    <row r="229" spans="2:6">
      <c r="B229" s="2"/>
      <c r="C229" s="3">
        <v>227</v>
      </c>
      <c r="D229" s="32" t="s">
        <v>134</v>
      </c>
      <c r="E229" s="2">
        <v>10.459999999999999</v>
      </c>
      <c r="F229" s="2">
        <v>1.8</v>
      </c>
    </row>
    <row r="230" spans="2:6">
      <c r="B230" s="2"/>
      <c r="C230" s="3">
        <v>228</v>
      </c>
      <c r="D230" s="31" t="s">
        <v>135</v>
      </c>
      <c r="E230" s="2">
        <v>9.5500000000000007</v>
      </c>
      <c r="F230" s="2">
        <v>1.8</v>
      </c>
    </row>
    <row r="231" spans="2:6">
      <c r="B231" s="2"/>
      <c r="C231" s="3">
        <v>229</v>
      </c>
      <c r="D231" s="32" t="s">
        <v>136</v>
      </c>
      <c r="E231" s="2">
        <v>15.63</v>
      </c>
      <c r="F231" s="2">
        <v>1.8</v>
      </c>
    </row>
    <row r="232" spans="2:6">
      <c r="B232" s="2"/>
      <c r="C232" s="3">
        <v>230</v>
      </c>
      <c r="D232" s="32" t="s">
        <v>137</v>
      </c>
      <c r="E232" s="2">
        <v>18.97</v>
      </c>
      <c r="F232" s="2">
        <v>1.8</v>
      </c>
    </row>
    <row r="233" spans="2:6">
      <c r="B233" s="2"/>
      <c r="C233" s="3">
        <v>231</v>
      </c>
      <c r="D233" s="31" t="s">
        <v>138</v>
      </c>
      <c r="E233" s="2">
        <v>34.910000000000004</v>
      </c>
      <c r="F233" s="2">
        <v>9.9</v>
      </c>
    </row>
    <row r="234" spans="2:6">
      <c r="B234" s="2"/>
      <c r="C234" s="3">
        <v>232</v>
      </c>
      <c r="D234" s="31" t="s">
        <v>139</v>
      </c>
      <c r="E234" s="2">
        <v>25.81</v>
      </c>
      <c r="F234" s="2">
        <v>9.9</v>
      </c>
    </row>
    <row r="235" spans="2:6">
      <c r="B235" s="2"/>
      <c r="C235" s="3">
        <v>233</v>
      </c>
      <c r="D235" s="31" t="s">
        <v>140</v>
      </c>
      <c r="E235" s="2">
        <v>33.47</v>
      </c>
      <c r="F235" s="2">
        <v>9.9</v>
      </c>
    </row>
    <row r="236" spans="2:6">
      <c r="B236" s="2"/>
      <c r="C236" s="3">
        <v>234</v>
      </c>
      <c r="D236" s="31" t="s">
        <v>141</v>
      </c>
      <c r="E236" s="2">
        <v>25.81</v>
      </c>
      <c r="F236" s="2">
        <v>9.9</v>
      </c>
    </row>
    <row r="237" spans="2:6">
      <c r="B237" s="2"/>
      <c r="C237" s="3">
        <v>235</v>
      </c>
      <c r="D237" s="31" t="s">
        <v>142</v>
      </c>
      <c r="E237" s="2">
        <v>34.18</v>
      </c>
      <c r="F237" s="2">
        <v>9.9</v>
      </c>
    </row>
    <row r="238" spans="2:6">
      <c r="B238" s="2"/>
      <c r="C238" s="3">
        <v>236</v>
      </c>
      <c r="D238" s="31" t="s">
        <v>143</v>
      </c>
      <c r="E238" s="2">
        <v>14.09</v>
      </c>
      <c r="F238" s="2">
        <v>9.9</v>
      </c>
    </row>
    <row r="239" spans="2:6">
      <c r="B239" s="2"/>
      <c r="C239" s="3">
        <v>237</v>
      </c>
      <c r="D239" s="31" t="s">
        <v>144</v>
      </c>
      <c r="E239" s="2">
        <v>25.51</v>
      </c>
      <c r="F239" s="2">
        <v>9.9</v>
      </c>
    </row>
    <row r="240" spans="2:6">
      <c r="B240" s="2"/>
      <c r="C240" s="3">
        <v>238</v>
      </c>
      <c r="D240" s="31" t="s">
        <v>145</v>
      </c>
      <c r="E240" s="2">
        <v>21.51</v>
      </c>
      <c r="F240" s="2">
        <v>9.9</v>
      </c>
    </row>
    <row r="241" spans="2:6">
      <c r="B241" s="2"/>
      <c r="C241" s="3">
        <v>239</v>
      </c>
      <c r="D241" s="31" t="s">
        <v>146</v>
      </c>
      <c r="E241" s="2">
        <v>18.29</v>
      </c>
      <c r="F241" s="2">
        <v>9.9</v>
      </c>
    </row>
    <row r="242" spans="2:6">
      <c r="B242" s="2"/>
      <c r="C242" s="3">
        <v>240</v>
      </c>
      <c r="D242" s="31" t="s">
        <v>272</v>
      </c>
      <c r="E242" s="2">
        <v>14.649999999999999</v>
      </c>
      <c r="F242" s="2">
        <v>9.9</v>
      </c>
    </row>
    <row r="243" spans="2:6">
      <c r="B243" s="2"/>
      <c r="C243" s="3">
        <v>241</v>
      </c>
      <c r="D243" s="31" t="s">
        <v>273</v>
      </c>
      <c r="E243" s="2">
        <v>37.24</v>
      </c>
      <c r="F243" s="2">
        <v>9.9</v>
      </c>
    </row>
    <row r="244" spans="2:6">
      <c r="B244" s="2"/>
      <c r="C244" s="3">
        <v>242</v>
      </c>
      <c r="D244" s="31" t="s">
        <v>43</v>
      </c>
      <c r="E244" s="2">
        <v>27.950000000000003</v>
      </c>
      <c r="F244" s="2">
        <v>9.9</v>
      </c>
    </row>
    <row r="245" spans="2:6">
      <c r="B245" s="2"/>
      <c r="C245" s="3">
        <v>243</v>
      </c>
      <c r="D245" s="31" t="s">
        <v>147</v>
      </c>
      <c r="E245" s="2">
        <v>25.52</v>
      </c>
      <c r="F245" s="2">
        <v>9.9</v>
      </c>
    </row>
    <row r="246" spans="2:6">
      <c r="B246" s="2"/>
      <c r="C246" s="3">
        <v>244</v>
      </c>
      <c r="D246" s="31" t="s">
        <v>148</v>
      </c>
      <c r="E246" s="2">
        <v>31.700000000000003</v>
      </c>
      <c r="F246" s="2">
        <v>9.9</v>
      </c>
    </row>
    <row r="247" spans="2:6">
      <c r="B247" s="2"/>
      <c r="C247" s="3">
        <v>245</v>
      </c>
      <c r="D247" s="31" t="s">
        <v>149</v>
      </c>
      <c r="E247" s="2">
        <v>21.51</v>
      </c>
      <c r="F247" s="2">
        <v>9.9</v>
      </c>
    </row>
    <row r="248" spans="2:6">
      <c r="B248" s="2"/>
      <c r="C248" s="3">
        <v>246</v>
      </c>
      <c r="D248" s="31" t="s">
        <v>150</v>
      </c>
      <c r="E248" s="2">
        <v>23.26</v>
      </c>
      <c r="F248" s="2">
        <v>9.9</v>
      </c>
    </row>
    <row r="249" spans="2:6">
      <c r="B249" s="2"/>
      <c r="C249" s="3">
        <v>247</v>
      </c>
      <c r="D249" s="31" t="s">
        <v>151</v>
      </c>
      <c r="E249" s="2">
        <v>32.72</v>
      </c>
      <c r="F249" s="2">
        <v>9.9</v>
      </c>
    </row>
    <row r="250" spans="2:6">
      <c r="B250" s="2"/>
      <c r="C250" s="3">
        <v>248</v>
      </c>
      <c r="D250" s="31" t="s">
        <v>152</v>
      </c>
      <c r="E250" s="2">
        <v>39.949999999999996</v>
      </c>
      <c r="F250" s="2">
        <v>9.9</v>
      </c>
    </row>
    <row r="251" spans="2:6">
      <c r="B251" s="2"/>
      <c r="C251" s="3">
        <v>249</v>
      </c>
      <c r="D251" s="31" t="s">
        <v>283</v>
      </c>
      <c r="E251" s="2">
        <v>26.45</v>
      </c>
      <c r="F251" s="2">
        <v>9.9</v>
      </c>
    </row>
    <row r="252" spans="2:6">
      <c r="B252" s="2"/>
      <c r="C252" s="3">
        <v>250</v>
      </c>
      <c r="D252" s="31" t="s">
        <v>284</v>
      </c>
      <c r="E252" s="2">
        <v>33.35</v>
      </c>
      <c r="F252" s="2">
        <v>9.9</v>
      </c>
    </row>
    <row r="253" spans="2:6">
      <c r="B253" s="2"/>
      <c r="C253" s="3">
        <v>251</v>
      </c>
      <c r="D253" s="33" t="s">
        <v>285</v>
      </c>
      <c r="E253" s="2">
        <v>21.27</v>
      </c>
      <c r="F253" s="2">
        <v>9.9</v>
      </c>
    </row>
    <row r="254" spans="2:6">
      <c r="B254" s="2"/>
      <c r="C254" s="3">
        <v>252</v>
      </c>
      <c r="D254" s="32" t="s">
        <v>286</v>
      </c>
      <c r="E254" s="2">
        <v>24.9</v>
      </c>
      <c r="F254" s="2">
        <v>9.9</v>
      </c>
    </row>
    <row r="255" spans="2:6">
      <c r="B255" s="2"/>
      <c r="C255" s="3">
        <v>253</v>
      </c>
      <c r="D255" s="32" t="s">
        <v>287</v>
      </c>
      <c r="E255" s="2">
        <v>37.1</v>
      </c>
      <c r="F255" s="2">
        <v>9.9</v>
      </c>
    </row>
    <row r="256" spans="2:6">
      <c r="B256" s="2"/>
      <c r="C256" s="3">
        <v>254</v>
      </c>
      <c r="D256" s="32" t="s">
        <v>161</v>
      </c>
      <c r="E256" s="2">
        <v>26.879999999999995</v>
      </c>
      <c r="F256" s="2">
        <v>9.9</v>
      </c>
    </row>
    <row r="257" spans="2:6">
      <c r="B257" s="2"/>
      <c r="C257" s="3">
        <v>255</v>
      </c>
      <c r="D257" s="32" t="s">
        <v>162</v>
      </c>
      <c r="E257" s="2">
        <v>31.5</v>
      </c>
      <c r="F257" s="2">
        <v>9.9</v>
      </c>
    </row>
    <row r="258" spans="2:6">
      <c r="B258" s="2"/>
      <c r="C258" s="3">
        <v>256</v>
      </c>
      <c r="D258" s="32" t="s">
        <v>163</v>
      </c>
      <c r="E258" s="2">
        <v>27.74</v>
      </c>
      <c r="F258" s="2">
        <v>9.9</v>
      </c>
    </row>
    <row r="259" spans="2:6">
      <c r="B259" s="2"/>
      <c r="C259" s="3">
        <v>257</v>
      </c>
      <c r="D259" s="32" t="s">
        <v>164</v>
      </c>
      <c r="E259" s="2">
        <v>33.130000000000003</v>
      </c>
      <c r="F259" s="2">
        <v>9.9</v>
      </c>
    </row>
    <row r="260" spans="2:6">
      <c r="B260" s="2"/>
      <c r="C260" s="3">
        <v>258</v>
      </c>
      <c r="D260" s="32" t="s">
        <v>165</v>
      </c>
      <c r="E260" s="2">
        <v>20.959999999999997</v>
      </c>
      <c r="F260" s="2">
        <v>9.9</v>
      </c>
    </row>
    <row r="261" spans="2:6">
      <c r="B261" s="2"/>
      <c r="C261" s="3">
        <v>259</v>
      </c>
      <c r="D261" s="31" t="s">
        <v>166</v>
      </c>
      <c r="E261" s="2">
        <v>25.08</v>
      </c>
      <c r="F261" s="2">
        <v>8.5</v>
      </c>
    </row>
    <row r="262" spans="2:6">
      <c r="B262" s="2"/>
      <c r="C262" s="3">
        <v>260</v>
      </c>
      <c r="D262" s="31" t="s">
        <v>167</v>
      </c>
      <c r="E262" s="2">
        <v>38.019999999999996</v>
      </c>
      <c r="F262" s="2">
        <v>8.5</v>
      </c>
    </row>
    <row r="263" spans="2:6">
      <c r="B263" s="2"/>
      <c r="C263" s="3">
        <v>261</v>
      </c>
      <c r="D263" s="31" t="s">
        <v>168</v>
      </c>
      <c r="E263" s="2">
        <v>35.68</v>
      </c>
      <c r="F263" s="2">
        <v>8.5</v>
      </c>
    </row>
    <row r="264" spans="2:6">
      <c r="B264" s="2"/>
      <c r="C264" s="3">
        <v>262</v>
      </c>
      <c r="D264" s="31" t="s">
        <v>169</v>
      </c>
      <c r="E264" s="2">
        <v>29.119999999999997</v>
      </c>
      <c r="F264" s="2">
        <v>8.5</v>
      </c>
    </row>
    <row r="265" spans="2:6">
      <c r="B265" s="2"/>
      <c r="C265" s="3">
        <v>263</v>
      </c>
      <c r="D265" s="31" t="s">
        <v>170</v>
      </c>
      <c r="E265" s="2">
        <v>40.79</v>
      </c>
      <c r="F265" s="2">
        <v>8.5</v>
      </c>
    </row>
    <row r="266" spans="2:6">
      <c r="B266" s="2"/>
      <c r="C266" s="3">
        <v>264</v>
      </c>
      <c r="D266" s="31" t="s">
        <v>171</v>
      </c>
      <c r="E266" s="2">
        <v>30.81</v>
      </c>
      <c r="F266" s="2">
        <v>8.5</v>
      </c>
    </row>
    <row r="267" spans="2:6">
      <c r="B267" s="2"/>
      <c r="C267" s="3">
        <v>265</v>
      </c>
      <c r="D267" s="31" t="s">
        <v>172</v>
      </c>
      <c r="E267" s="2">
        <v>14.75</v>
      </c>
      <c r="F267" s="2">
        <v>3.2</v>
      </c>
    </row>
    <row r="268" spans="2:6">
      <c r="B268" s="2"/>
      <c r="C268" s="3">
        <v>266</v>
      </c>
      <c r="D268" s="31" t="s">
        <v>173</v>
      </c>
      <c r="E268" s="2">
        <v>22.290000000000003</v>
      </c>
      <c r="F268" s="2">
        <v>3.2</v>
      </c>
    </row>
    <row r="269" spans="2:6">
      <c r="B269" s="2"/>
      <c r="C269" s="3">
        <v>267</v>
      </c>
      <c r="D269" s="31" t="s">
        <v>174</v>
      </c>
      <c r="E269" s="2">
        <v>16.88</v>
      </c>
      <c r="F269" s="2">
        <v>3.2</v>
      </c>
    </row>
    <row r="270" spans="2:6">
      <c r="B270" s="2"/>
      <c r="C270" s="3">
        <v>268</v>
      </c>
      <c r="D270" s="31" t="s">
        <v>175</v>
      </c>
      <c r="E270" s="2">
        <v>13.41</v>
      </c>
      <c r="F270" s="2">
        <v>2</v>
      </c>
    </row>
    <row r="271" spans="2:6">
      <c r="B271" s="2"/>
      <c r="C271" s="3">
        <v>269</v>
      </c>
      <c r="D271" s="31" t="s">
        <v>176</v>
      </c>
      <c r="E271" s="2">
        <v>5.33</v>
      </c>
      <c r="F271" s="2">
        <v>2</v>
      </c>
    </row>
    <row r="272" spans="2:6">
      <c r="B272" s="2"/>
      <c r="C272" s="3">
        <v>270</v>
      </c>
      <c r="D272" s="32" t="s">
        <v>177</v>
      </c>
      <c r="E272" s="2">
        <v>33.770000000000003</v>
      </c>
      <c r="F272" s="2">
        <v>3</v>
      </c>
    </row>
    <row r="273" spans="2:6">
      <c r="B273" s="2"/>
      <c r="C273" s="3">
        <v>271</v>
      </c>
      <c r="D273" s="32" t="s">
        <v>178</v>
      </c>
      <c r="E273" s="2">
        <v>29.53</v>
      </c>
      <c r="F273" s="2">
        <v>3</v>
      </c>
    </row>
    <row r="274" spans="2:6">
      <c r="B274" s="2"/>
      <c r="C274" s="3">
        <v>272</v>
      </c>
      <c r="D274" s="32" t="s">
        <v>179</v>
      </c>
      <c r="E274" s="2">
        <v>33.800000000000004</v>
      </c>
      <c r="F274" s="2">
        <v>3</v>
      </c>
    </row>
    <row r="275" spans="2:6">
      <c r="B275" s="2"/>
      <c r="C275" s="3">
        <v>273</v>
      </c>
      <c r="D275" s="32" t="s">
        <v>180</v>
      </c>
      <c r="E275" s="2">
        <v>32.21</v>
      </c>
      <c r="F275" s="2">
        <v>3</v>
      </c>
    </row>
    <row r="276" spans="2:6">
      <c r="B276" s="2"/>
      <c r="C276" s="3">
        <v>274</v>
      </c>
      <c r="D276" s="32" t="s">
        <v>181</v>
      </c>
      <c r="E276" s="2">
        <v>32.68</v>
      </c>
      <c r="F276" s="2">
        <v>3</v>
      </c>
    </row>
    <row r="277" spans="2:6">
      <c r="B277" s="2"/>
      <c r="C277" s="3">
        <v>275</v>
      </c>
      <c r="D277" s="32" t="s">
        <v>182</v>
      </c>
      <c r="E277" s="2">
        <v>32.25</v>
      </c>
      <c r="F277" s="2">
        <v>3</v>
      </c>
    </row>
    <row r="278" spans="2:6">
      <c r="B278" s="2"/>
      <c r="C278" s="3">
        <v>276</v>
      </c>
      <c r="D278" s="32" t="s">
        <v>67</v>
      </c>
      <c r="E278" s="2">
        <v>30.63</v>
      </c>
      <c r="F278" s="2">
        <v>3</v>
      </c>
    </row>
    <row r="279" spans="2:6">
      <c r="B279" s="2"/>
      <c r="C279" s="3">
        <v>277</v>
      </c>
      <c r="D279" s="32" t="s">
        <v>68</v>
      </c>
      <c r="E279" s="2">
        <v>31.72</v>
      </c>
      <c r="F279" s="2">
        <v>3</v>
      </c>
    </row>
    <row r="280" spans="2:6">
      <c r="B280" s="2"/>
      <c r="C280" s="3">
        <v>278</v>
      </c>
      <c r="D280" s="32" t="s">
        <v>69</v>
      </c>
      <c r="E280" s="2">
        <v>31.990000000000006</v>
      </c>
      <c r="F280" s="2">
        <v>3</v>
      </c>
    </row>
    <row r="281" spans="2:6">
      <c r="B281" s="2"/>
      <c r="C281" s="3">
        <v>279</v>
      </c>
      <c r="D281" s="31" t="s">
        <v>70</v>
      </c>
      <c r="E281" s="2">
        <v>46.509999999999991</v>
      </c>
      <c r="F281" s="2">
        <v>3</v>
      </c>
    </row>
    <row r="282" spans="2:6">
      <c r="B282" s="2"/>
      <c r="C282" s="3">
        <v>280</v>
      </c>
      <c r="D282" s="31" t="s">
        <v>71</v>
      </c>
      <c r="E282" s="2">
        <v>46.269999999999996</v>
      </c>
      <c r="F282" s="2">
        <v>3</v>
      </c>
    </row>
    <row r="283" spans="2:6">
      <c r="B283" s="2"/>
      <c r="C283" s="3">
        <v>281</v>
      </c>
      <c r="D283" s="31" t="s">
        <v>72</v>
      </c>
      <c r="E283" s="2">
        <v>44.73</v>
      </c>
      <c r="F283" s="2">
        <v>3</v>
      </c>
    </row>
    <row r="284" spans="2:6">
      <c r="B284" s="2"/>
      <c r="C284" s="3">
        <v>282</v>
      </c>
      <c r="D284" s="31" t="s">
        <v>73</v>
      </c>
      <c r="E284" s="2">
        <v>33.770000000000003</v>
      </c>
      <c r="F284" s="2">
        <v>8</v>
      </c>
    </row>
    <row r="285" spans="2:6">
      <c r="B285" s="2"/>
      <c r="C285" s="3">
        <v>283</v>
      </c>
      <c r="D285" s="31" t="s">
        <v>74</v>
      </c>
      <c r="E285" s="2">
        <v>25.57</v>
      </c>
      <c r="F285" s="2">
        <v>2.5</v>
      </c>
    </row>
    <row r="286" spans="2:6">
      <c r="B286" s="2"/>
      <c r="C286" s="3">
        <v>284</v>
      </c>
      <c r="D286" s="31" t="s">
        <v>75</v>
      </c>
      <c r="E286" s="2">
        <v>19.39</v>
      </c>
      <c r="F286" s="2">
        <v>2.5</v>
      </c>
    </row>
    <row r="287" spans="2:6">
      <c r="B287" s="2"/>
      <c r="C287" s="3">
        <v>285</v>
      </c>
      <c r="D287" s="31" t="s">
        <v>76</v>
      </c>
      <c r="E287" s="2">
        <v>38.340000000000003</v>
      </c>
      <c r="F287" s="2">
        <v>2.5</v>
      </c>
    </row>
    <row r="288" spans="2:6">
      <c r="B288" s="2"/>
      <c r="C288" s="3">
        <v>286</v>
      </c>
      <c r="D288" s="31" t="s">
        <v>77</v>
      </c>
      <c r="E288" s="2">
        <v>24.29</v>
      </c>
      <c r="F288" s="2">
        <v>4.9000000000000004</v>
      </c>
    </row>
    <row r="289" spans="2:6">
      <c r="B289" s="2"/>
      <c r="C289" s="3">
        <v>287</v>
      </c>
      <c r="D289" s="31" t="s">
        <v>78</v>
      </c>
      <c r="E289" s="2">
        <v>12.49</v>
      </c>
      <c r="F289" s="2">
        <v>4.9000000000000004</v>
      </c>
    </row>
    <row r="290" spans="2:6">
      <c r="B290" s="2"/>
      <c r="C290" s="3">
        <v>288</v>
      </c>
      <c r="D290" s="31" t="s">
        <v>79</v>
      </c>
      <c r="E290" s="2">
        <v>26.700000000000003</v>
      </c>
      <c r="F290" s="2">
        <v>4.9000000000000004</v>
      </c>
    </row>
    <row r="291" spans="2:6">
      <c r="B291" s="2"/>
      <c r="C291" s="3">
        <v>289</v>
      </c>
      <c r="D291" s="31" t="s">
        <v>80</v>
      </c>
      <c r="E291" s="2">
        <v>22.759999999999998</v>
      </c>
      <c r="F291" s="2">
        <v>4.9000000000000004</v>
      </c>
    </row>
    <row r="292" spans="2:6">
      <c r="B292" s="2"/>
      <c r="C292" s="3">
        <v>290</v>
      </c>
      <c r="D292" s="31" t="s">
        <v>81</v>
      </c>
      <c r="E292" s="2">
        <v>18.429999999999996</v>
      </c>
      <c r="F292" s="2">
        <v>4.9000000000000004</v>
      </c>
    </row>
    <row r="293" spans="2:6">
      <c r="B293" s="2"/>
      <c r="C293" s="3">
        <v>291</v>
      </c>
      <c r="D293" s="32" t="s">
        <v>82</v>
      </c>
      <c r="E293" s="2">
        <v>0.61</v>
      </c>
      <c r="F293" s="2">
        <v>2</v>
      </c>
    </row>
    <row r="294" spans="2:6">
      <c r="B294" s="2"/>
      <c r="C294" s="3">
        <v>292</v>
      </c>
      <c r="D294" s="31" t="s">
        <v>83</v>
      </c>
      <c r="E294" s="2">
        <v>3.16</v>
      </c>
      <c r="F294" s="2">
        <v>2</v>
      </c>
    </row>
    <row r="295" spans="2:6">
      <c r="B295" s="2"/>
      <c r="C295" s="3">
        <v>293</v>
      </c>
      <c r="D295" s="32" t="s">
        <v>84</v>
      </c>
      <c r="E295" s="2">
        <v>1.55</v>
      </c>
      <c r="F295" s="2">
        <v>2</v>
      </c>
    </row>
    <row r="296" spans="2:6">
      <c r="B296" s="2"/>
      <c r="C296" s="3">
        <v>294</v>
      </c>
      <c r="D296" s="31" t="s">
        <v>85</v>
      </c>
      <c r="E296" s="2">
        <v>15.309999999999999</v>
      </c>
      <c r="F296" s="2">
        <v>1.4</v>
      </c>
    </row>
    <row r="297" spans="2:6">
      <c r="B297" s="2"/>
      <c r="C297" s="3">
        <v>295</v>
      </c>
      <c r="D297" s="31" t="s">
        <v>204</v>
      </c>
      <c r="E297" s="2">
        <v>29.720000000000002</v>
      </c>
      <c r="F297" s="2">
        <v>1.4</v>
      </c>
    </row>
    <row r="298" spans="2:6">
      <c r="B298" s="2"/>
      <c r="C298" s="3">
        <v>296</v>
      </c>
      <c r="D298" s="31" t="s">
        <v>66</v>
      </c>
      <c r="E298" s="2">
        <v>12.870000000000001</v>
      </c>
      <c r="F298" s="2">
        <v>1.4</v>
      </c>
    </row>
    <row r="299" spans="2:6">
      <c r="B299" s="2"/>
      <c r="C299" s="3">
        <v>297</v>
      </c>
      <c r="D299" s="32" t="s">
        <v>86</v>
      </c>
      <c r="E299" s="2">
        <v>20.18</v>
      </c>
      <c r="F299" s="2">
        <v>1.4</v>
      </c>
    </row>
    <row r="300" spans="2:6">
      <c r="B300" s="2"/>
      <c r="C300" s="3">
        <v>298</v>
      </c>
      <c r="D300" s="31" t="s">
        <v>87</v>
      </c>
      <c r="E300" s="2">
        <v>12.38</v>
      </c>
      <c r="F300" s="2">
        <v>2</v>
      </c>
    </row>
    <row r="301" spans="2:6">
      <c r="B301" s="2"/>
      <c r="C301" s="3">
        <v>299</v>
      </c>
      <c r="D301" s="31" t="s">
        <v>88</v>
      </c>
      <c r="E301" s="2">
        <v>14.590000000000002</v>
      </c>
      <c r="F301" s="2">
        <v>2</v>
      </c>
    </row>
    <row r="302" spans="2:6">
      <c r="B302" s="2"/>
      <c r="C302" s="3">
        <v>300</v>
      </c>
      <c r="D302" s="31" t="s">
        <v>89</v>
      </c>
      <c r="E302" s="2">
        <v>7.12</v>
      </c>
      <c r="F302" s="2">
        <v>2</v>
      </c>
    </row>
    <row r="303" spans="2:6">
      <c r="B303" s="2"/>
      <c r="C303" s="3">
        <v>301</v>
      </c>
      <c r="D303" s="32" t="s">
        <v>90</v>
      </c>
      <c r="E303" s="2">
        <v>13.68</v>
      </c>
      <c r="F303" s="2">
        <v>2</v>
      </c>
    </row>
    <row r="304" spans="2:6">
      <c r="B304" s="2"/>
      <c r="C304" s="3">
        <v>302</v>
      </c>
      <c r="D304" s="32" t="s">
        <v>91</v>
      </c>
      <c r="E304" s="2">
        <v>11.299999999999999</v>
      </c>
      <c r="F304" s="2">
        <v>2</v>
      </c>
    </row>
    <row r="305" spans="2:6">
      <c r="B305" s="2"/>
      <c r="C305" s="3">
        <v>303</v>
      </c>
      <c r="D305" s="32" t="s">
        <v>92</v>
      </c>
      <c r="E305" s="2">
        <v>10.69</v>
      </c>
      <c r="F305" s="2">
        <v>2</v>
      </c>
    </row>
    <row r="306" spans="2:6">
      <c r="B306" s="2"/>
      <c r="C306" s="3">
        <v>304</v>
      </c>
      <c r="D306" s="31" t="s">
        <v>93</v>
      </c>
      <c r="E306" s="2">
        <v>26.29</v>
      </c>
      <c r="F306" s="2">
        <v>5.0999999999999996</v>
      </c>
    </row>
    <row r="307" spans="2:6">
      <c r="B307" s="2"/>
      <c r="C307" s="3">
        <v>305</v>
      </c>
      <c r="D307" s="31" t="s">
        <v>94</v>
      </c>
      <c r="E307" s="2">
        <v>20.27</v>
      </c>
      <c r="F307" s="2">
        <v>5.0999999999999996</v>
      </c>
    </row>
    <row r="308" spans="2:6">
      <c r="B308" s="2"/>
      <c r="C308" s="3">
        <v>306</v>
      </c>
      <c r="D308" s="31" t="s">
        <v>215</v>
      </c>
      <c r="E308" s="2">
        <v>18.88</v>
      </c>
      <c r="F308" s="2">
        <v>5.0999999999999996</v>
      </c>
    </row>
    <row r="309" spans="2:6">
      <c r="B309" s="2"/>
      <c r="C309" s="3">
        <v>307</v>
      </c>
      <c r="D309" s="31" t="s">
        <v>216</v>
      </c>
      <c r="E309" s="2">
        <v>30.039999999999996</v>
      </c>
      <c r="F309" s="2">
        <v>5.0999999999999996</v>
      </c>
    </row>
    <row r="310" spans="2:6">
      <c r="B310" s="2"/>
      <c r="C310" s="3">
        <v>308</v>
      </c>
      <c r="D310" s="31" t="s">
        <v>217</v>
      </c>
      <c r="E310" s="2">
        <v>26.960000000000004</v>
      </c>
      <c r="F310" s="2">
        <v>5.0999999999999996</v>
      </c>
    </row>
    <row r="311" spans="2:6">
      <c r="B311" s="2"/>
      <c r="C311" s="3">
        <v>309</v>
      </c>
      <c r="D311" s="31" t="s">
        <v>218</v>
      </c>
      <c r="E311" s="2">
        <v>24.519999999999996</v>
      </c>
      <c r="F311" s="2">
        <v>5.0999999999999996</v>
      </c>
    </row>
    <row r="312" spans="2:6">
      <c r="B312" s="2"/>
      <c r="C312" s="3">
        <v>310</v>
      </c>
      <c r="D312" s="31" t="s">
        <v>219</v>
      </c>
      <c r="E312" s="2">
        <v>11.58</v>
      </c>
      <c r="F312" s="2">
        <v>5.0999999999999996</v>
      </c>
    </row>
    <row r="313" spans="2:6">
      <c r="B313" s="2"/>
      <c r="C313" s="3">
        <v>311</v>
      </c>
      <c r="D313" s="31" t="s">
        <v>220</v>
      </c>
      <c r="E313" s="2">
        <v>23.23</v>
      </c>
      <c r="F313" s="2">
        <v>5.0999999999999996</v>
      </c>
    </row>
    <row r="314" spans="2:6">
      <c r="B314" s="2"/>
      <c r="C314" s="3">
        <v>312</v>
      </c>
      <c r="D314" s="31" t="s">
        <v>221</v>
      </c>
      <c r="E314" s="2">
        <v>22.5</v>
      </c>
      <c r="F314" s="2">
        <v>5.0999999999999996</v>
      </c>
    </row>
    <row r="315" spans="2:6">
      <c r="B315" s="2"/>
      <c r="C315" s="3">
        <v>313</v>
      </c>
      <c r="D315" s="31" t="s">
        <v>222</v>
      </c>
      <c r="E315" s="2">
        <v>17.8</v>
      </c>
      <c r="F315" s="2">
        <v>5.0999999999999996</v>
      </c>
    </row>
    <row r="316" spans="2:6">
      <c r="B316" s="2"/>
      <c r="C316" s="3">
        <v>314</v>
      </c>
      <c r="D316" s="31" t="s">
        <v>107</v>
      </c>
      <c r="E316" s="2">
        <v>21.97</v>
      </c>
      <c r="F316" s="2">
        <v>5.0999999999999996</v>
      </c>
    </row>
    <row r="317" spans="2:6">
      <c r="B317" s="2"/>
      <c r="C317" s="3">
        <v>315</v>
      </c>
      <c r="D317" s="32" t="s">
        <v>108</v>
      </c>
      <c r="E317" s="2">
        <v>15.33</v>
      </c>
      <c r="F317" s="2">
        <v>5.0999999999999996</v>
      </c>
    </row>
    <row r="318" spans="2:6">
      <c r="B318" s="2"/>
      <c r="C318" s="3">
        <v>316</v>
      </c>
      <c r="D318" s="32" t="s">
        <v>109</v>
      </c>
      <c r="E318" s="2">
        <v>17.950000000000003</v>
      </c>
      <c r="F318" s="2">
        <v>5.0999999999999996</v>
      </c>
    </row>
    <row r="319" spans="2:6">
      <c r="B319" s="2"/>
      <c r="C319" s="3">
        <v>317</v>
      </c>
      <c r="D319" s="32" t="s">
        <v>110</v>
      </c>
      <c r="E319" s="2">
        <v>31.060000000000002</v>
      </c>
      <c r="F319" s="2">
        <v>5.0999999999999996</v>
      </c>
    </row>
    <row r="320" spans="2:6">
      <c r="B320" s="2"/>
      <c r="C320" s="3">
        <v>318</v>
      </c>
      <c r="D320" s="32" t="s">
        <v>111</v>
      </c>
      <c r="E320" s="2">
        <v>21.669999999999998</v>
      </c>
      <c r="F320" s="2">
        <v>5.0999999999999996</v>
      </c>
    </row>
    <row r="321" spans="2:6">
      <c r="B321" s="2"/>
      <c r="C321" s="3">
        <v>319</v>
      </c>
      <c r="D321" s="32" t="s">
        <v>112</v>
      </c>
      <c r="E321" s="2">
        <v>22.71</v>
      </c>
      <c r="F321" s="2">
        <v>5.0999999999999996</v>
      </c>
    </row>
    <row r="322" spans="2:6">
      <c r="B322" s="2"/>
      <c r="C322" s="3">
        <v>320</v>
      </c>
      <c r="D322" s="32" t="s">
        <v>113</v>
      </c>
      <c r="E322" s="2">
        <v>19.71</v>
      </c>
      <c r="F322" s="2">
        <v>5.0999999999999996</v>
      </c>
    </row>
    <row r="323" spans="2:6">
      <c r="B323" s="2"/>
      <c r="C323" s="3">
        <v>321</v>
      </c>
      <c r="D323" s="31" t="s">
        <v>114</v>
      </c>
      <c r="E323" s="2">
        <v>21.64</v>
      </c>
      <c r="F323" s="2">
        <v>5.0999999999999996</v>
      </c>
    </row>
    <row r="324" spans="2:6">
      <c r="B324" s="2"/>
      <c r="C324" s="3">
        <v>322</v>
      </c>
      <c r="D324" s="31" t="s">
        <v>115</v>
      </c>
      <c r="E324" s="2">
        <v>15.85</v>
      </c>
      <c r="F324" s="2">
        <v>5.0999999999999996</v>
      </c>
    </row>
    <row r="325" spans="2:6">
      <c r="B325" s="2"/>
      <c r="C325" s="3">
        <v>323</v>
      </c>
      <c r="D325" s="31" t="s">
        <v>116</v>
      </c>
      <c r="E325" s="2">
        <v>18.75</v>
      </c>
      <c r="F325" s="2">
        <v>5.0999999999999996</v>
      </c>
    </row>
    <row r="326" spans="2:6">
      <c r="B326" s="2"/>
      <c r="C326" s="3">
        <v>324</v>
      </c>
      <c r="D326" s="31" t="s">
        <v>117</v>
      </c>
      <c r="E326" s="2">
        <v>23.47</v>
      </c>
      <c r="F326" s="2">
        <v>5.0999999999999996</v>
      </c>
    </row>
    <row r="327" spans="2:6">
      <c r="B327" s="2"/>
      <c r="C327" s="3">
        <v>325</v>
      </c>
      <c r="D327" s="31" t="s">
        <v>118</v>
      </c>
      <c r="E327" s="2">
        <v>23.49</v>
      </c>
      <c r="F327" s="2">
        <v>5.0999999999999996</v>
      </c>
    </row>
    <row r="328" spans="2:6">
      <c r="B328" s="2"/>
      <c r="C328" s="3">
        <v>326</v>
      </c>
      <c r="D328" s="31" t="s">
        <v>119</v>
      </c>
      <c r="E328" s="2">
        <v>14.88</v>
      </c>
      <c r="F328" s="2">
        <v>5.5</v>
      </c>
    </row>
    <row r="329" spans="2:6">
      <c r="B329" s="2"/>
      <c r="C329" s="3">
        <v>327</v>
      </c>
      <c r="D329" s="31" t="s">
        <v>120</v>
      </c>
      <c r="E329" s="2">
        <v>11.56</v>
      </c>
      <c r="F329" s="2">
        <v>3.3</v>
      </c>
    </row>
    <row r="330" spans="2:6">
      <c r="B330" s="2"/>
      <c r="C330" s="3">
        <v>328</v>
      </c>
      <c r="D330" s="31" t="s">
        <v>121</v>
      </c>
      <c r="E330" s="2">
        <v>13.48</v>
      </c>
      <c r="F330" s="2">
        <v>3.3</v>
      </c>
    </row>
    <row r="331" spans="2:6">
      <c r="B331" s="2"/>
      <c r="C331" s="3">
        <v>329</v>
      </c>
      <c r="D331" s="31" t="s">
        <v>122</v>
      </c>
      <c r="E331" s="2">
        <v>11.45</v>
      </c>
      <c r="F331" s="2">
        <v>5.0999999999999996</v>
      </c>
    </row>
    <row r="332" spans="2:6">
      <c r="B332" s="2"/>
      <c r="C332" s="3">
        <v>330</v>
      </c>
      <c r="D332" s="31" t="s">
        <v>123</v>
      </c>
      <c r="E332" s="2">
        <v>14.13</v>
      </c>
      <c r="F332" s="2">
        <v>5.0999999999999996</v>
      </c>
    </row>
    <row r="333" spans="2:6">
      <c r="B333" s="2"/>
      <c r="C333" s="3">
        <v>331</v>
      </c>
      <c r="D333" s="31" t="s">
        <v>124</v>
      </c>
      <c r="E333" s="2">
        <v>19.440000000000001</v>
      </c>
      <c r="F333" s="2">
        <v>5.0999999999999996</v>
      </c>
    </row>
    <row r="334" spans="2:6">
      <c r="B334" s="2"/>
      <c r="C334" s="3">
        <v>332</v>
      </c>
      <c r="D334" s="31" t="s">
        <v>125</v>
      </c>
      <c r="E334" s="2">
        <v>11.58</v>
      </c>
      <c r="F334" s="2">
        <v>5.0999999999999996</v>
      </c>
    </row>
    <row r="335" spans="2:6">
      <c r="B335" s="2"/>
      <c r="C335" s="3">
        <v>333</v>
      </c>
      <c r="D335" s="31" t="s">
        <v>126</v>
      </c>
      <c r="E335" s="2">
        <v>24.87</v>
      </c>
      <c r="F335" s="2">
        <v>5.0999999999999996</v>
      </c>
    </row>
    <row r="336" spans="2:6">
      <c r="B336" s="2"/>
      <c r="C336" s="3">
        <v>334</v>
      </c>
      <c r="D336" s="31" t="s">
        <v>127</v>
      </c>
      <c r="E336" s="2">
        <v>16.509999999999998</v>
      </c>
      <c r="F336" s="2">
        <v>5.0999999999999996</v>
      </c>
    </row>
    <row r="337" spans="2:6">
      <c r="B337" s="2"/>
      <c r="C337" s="3">
        <v>335</v>
      </c>
      <c r="D337" s="31" t="s">
        <v>128</v>
      </c>
      <c r="E337" s="2">
        <v>12.509999999999998</v>
      </c>
      <c r="F337" s="2">
        <v>5.0999999999999996</v>
      </c>
    </row>
    <row r="338" spans="2:6">
      <c r="B338" s="2"/>
      <c r="C338" s="3">
        <v>336</v>
      </c>
      <c r="D338" s="31" t="s">
        <v>129</v>
      </c>
      <c r="E338" s="2">
        <v>17.919999999999998</v>
      </c>
      <c r="F338" s="2">
        <v>5.0999999999999996</v>
      </c>
    </row>
    <row r="339" spans="2:6">
      <c r="B339" s="2"/>
      <c r="C339" s="3">
        <v>337</v>
      </c>
      <c r="D339" s="31" t="s">
        <v>130</v>
      </c>
      <c r="E339" s="2">
        <v>25.6</v>
      </c>
      <c r="F339" s="2">
        <v>3.2</v>
      </c>
    </row>
    <row r="340" spans="2:6">
      <c r="B340" s="2"/>
      <c r="C340" s="3">
        <v>338</v>
      </c>
      <c r="D340" s="31" t="s">
        <v>131</v>
      </c>
      <c r="E340" s="2">
        <v>10.64</v>
      </c>
      <c r="F340" s="2">
        <v>3.5</v>
      </c>
    </row>
    <row r="341" spans="2:6">
      <c r="B341" s="2"/>
      <c r="C341" s="3">
        <v>339</v>
      </c>
      <c r="D341" s="31" t="s">
        <v>25</v>
      </c>
      <c r="E341" s="2">
        <v>9.9400000000000013</v>
      </c>
      <c r="F341" s="2">
        <v>3.5</v>
      </c>
    </row>
    <row r="342" spans="2:6">
      <c r="B342" s="2"/>
      <c r="C342" s="3">
        <v>340</v>
      </c>
      <c r="D342" s="31" t="s">
        <v>26</v>
      </c>
      <c r="E342" s="2">
        <v>21.14</v>
      </c>
      <c r="F342" s="2">
        <v>3.5</v>
      </c>
    </row>
    <row r="343" spans="2:6">
      <c r="B343" s="2"/>
      <c r="C343" s="3">
        <v>341</v>
      </c>
      <c r="D343" s="32" t="s">
        <v>27</v>
      </c>
      <c r="E343" s="2">
        <v>26.22</v>
      </c>
      <c r="F343" s="2">
        <v>3.5</v>
      </c>
    </row>
    <row r="344" spans="2:6">
      <c r="B344" s="2"/>
      <c r="C344" s="3">
        <v>342</v>
      </c>
      <c r="D344" s="31" t="s">
        <v>28</v>
      </c>
      <c r="E344" s="2">
        <v>28.57</v>
      </c>
      <c r="F344" s="2">
        <v>4</v>
      </c>
    </row>
    <row r="345" spans="2:6">
      <c r="B345" s="2"/>
      <c r="C345" s="3">
        <v>343</v>
      </c>
      <c r="D345" s="32" t="s">
        <v>29</v>
      </c>
      <c r="E345" s="2">
        <v>19.080000000000002</v>
      </c>
      <c r="F345" s="2">
        <v>2.5</v>
      </c>
    </row>
    <row r="346" spans="2:6">
      <c r="B346" s="2"/>
      <c r="C346" s="3">
        <v>344</v>
      </c>
      <c r="D346" s="31" t="s">
        <v>30</v>
      </c>
      <c r="E346" s="2">
        <v>23.990000000000002</v>
      </c>
      <c r="F346" s="2">
        <v>2.5</v>
      </c>
    </row>
    <row r="347" spans="2:6">
      <c r="B347" s="2"/>
      <c r="C347" s="3">
        <v>345</v>
      </c>
      <c r="D347" s="31" t="s">
        <v>31</v>
      </c>
      <c r="E347" s="2">
        <v>28.64</v>
      </c>
      <c r="F347" s="2">
        <v>7</v>
      </c>
    </row>
    <row r="348" spans="2:6">
      <c r="B348" s="2"/>
      <c r="C348" s="3">
        <v>346</v>
      </c>
      <c r="D348" s="31" t="s">
        <v>32</v>
      </c>
      <c r="E348" s="2">
        <v>13.450000000000001</v>
      </c>
      <c r="F348" s="2">
        <v>7</v>
      </c>
    </row>
    <row r="349" spans="2:6">
      <c r="B349" s="2"/>
      <c r="C349" s="3">
        <v>347</v>
      </c>
      <c r="D349" s="31" t="s">
        <v>33</v>
      </c>
      <c r="E349" s="2">
        <v>28.869999999999997</v>
      </c>
      <c r="F349" s="2">
        <v>7</v>
      </c>
    </row>
    <row r="350" spans="2:6">
      <c r="B350" s="2"/>
      <c r="C350" s="3">
        <v>348</v>
      </c>
      <c r="D350" s="32" t="s">
        <v>34</v>
      </c>
      <c r="E350" s="2">
        <v>12.98</v>
      </c>
      <c r="F350" s="2">
        <v>7</v>
      </c>
    </row>
    <row r="351" spans="2:6">
      <c r="B351" s="2"/>
      <c r="C351" s="3">
        <v>349</v>
      </c>
      <c r="D351" s="32" t="s">
        <v>35</v>
      </c>
      <c r="E351" s="2">
        <v>16.850000000000001</v>
      </c>
      <c r="F351" s="2">
        <v>7</v>
      </c>
    </row>
    <row r="352" spans="2:6">
      <c r="B352" s="2"/>
      <c r="C352" s="3">
        <v>350</v>
      </c>
      <c r="D352" s="31" t="s">
        <v>36</v>
      </c>
      <c r="E352" s="2">
        <v>10.81</v>
      </c>
      <c r="F352" s="2">
        <v>7</v>
      </c>
    </row>
    <row r="353" spans="2:6">
      <c r="B353" s="2"/>
      <c r="C353" s="3">
        <v>351</v>
      </c>
      <c r="D353" s="31" t="s">
        <v>37</v>
      </c>
      <c r="E353" s="2">
        <v>7.5400000000000009</v>
      </c>
      <c r="F353" s="2">
        <v>7</v>
      </c>
    </row>
    <row r="354" spans="2:6">
      <c r="B354" s="2"/>
      <c r="C354" s="3">
        <v>352</v>
      </c>
      <c r="D354" s="32" t="s">
        <v>38</v>
      </c>
      <c r="E354" s="2">
        <v>20.259999999999998</v>
      </c>
      <c r="F354" s="2">
        <v>7</v>
      </c>
    </row>
    <row r="355" spans="2:6">
      <c r="B355" s="2"/>
      <c r="C355" s="3">
        <v>353</v>
      </c>
      <c r="D355" s="31" t="s">
        <v>39</v>
      </c>
      <c r="E355" s="2">
        <v>21.349999999999998</v>
      </c>
      <c r="F355" s="2">
        <v>7</v>
      </c>
    </row>
    <row r="356" spans="2:6">
      <c r="B356" s="2"/>
      <c r="C356" s="3">
        <v>354</v>
      </c>
      <c r="D356" s="31" t="s">
        <v>40</v>
      </c>
      <c r="E356" s="2">
        <v>16.53</v>
      </c>
      <c r="F356" s="2">
        <v>7</v>
      </c>
    </row>
    <row r="357" spans="2:6">
      <c r="B357" s="2"/>
      <c r="C357" s="3">
        <v>355</v>
      </c>
      <c r="D357" s="31" t="s">
        <v>41</v>
      </c>
      <c r="E357" s="2">
        <v>10.81</v>
      </c>
      <c r="F357" s="2">
        <v>7</v>
      </c>
    </row>
    <row r="358" spans="2:6">
      <c r="B358" s="2"/>
      <c r="C358" s="3">
        <v>356</v>
      </c>
      <c r="D358" s="31" t="s">
        <v>42</v>
      </c>
      <c r="E358" s="2">
        <v>26.599999999999998</v>
      </c>
      <c r="F358" s="2">
        <v>7</v>
      </c>
    </row>
    <row r="359" spans="2:6">
      <c r="B359" s="2"/>
      <c r="C359" s="3">
        <v>357</v>
      </c>
      <c r="D359" s="31" t="s">
        <v>153</v>
      </c>
      <c r="E359" s="2">
        <v>16.900000000000002</v>
      </c>
      <c r="F359" s="2">
        <v>7</v>
      </c>
    </row>
    <row r="360" spans="2:6">
      <c r="B360" s="2"/>
      <c r="C360" s="3">
        <v>358</v>
      </c>
      <c r="D360" s="31" t="s">
        <v>154</v>
      </c>
      <c r="E360" s="2">
        <v>17.990000000000006</v>
      </c>
      <c r="F360" s="2">
        <v>7</v>
      </c>
    </row>
    <row r="361" spans="2:6">
      <c r="B361" s="2"/>
      <c r="C361" s="3">
        <v>359</v>
      </c>
      <c r="D361" s="31" t="s">
        <v>155</v>
      </c>
      <c r="E361" s="2">
        <v>22.080000000000002</v>
      </c>
      <c r="F361" s="2">
        <v>7</v>
      </c>
    </row>
    <row r="362" spans="2:6">
      <c r="B362" s="2"/>
      <c r="C362" s="3">
        <v>360</v>
      </c>
      <c r="D362" s="31" t="s">
        <v>156</v>
      </c>
      <c r="E362" s="2">
        <v>14.670000000000002</v>
      </c>
      <c r="F362" s="2">
        <v>7</v>
      </c>
    </row>
    <row r="363" spans="2:6">
      <c r="B363" s="2"/>
      <c r="C363" s="3">
        <v>361</v>
      </c>
      <c r="D363" s="31" t="s">
        <v>157</v>
      </c>
      <c r="E363" s="2">
        <v>22.490000000000002</v>
      </c>
      <c r="F363" s="2">
        <v>7</v>
      </c>
    </row>
    <row r="364" spans="2:6">
      <c r="B364" s="2"/>
      <c r="C364" s="3">
        <v>362</v>
      </c>
      <c r="D364" s="32" t="s">
        <v>158</v>
      </c>
      <c r="E364" s="2">
        <v>17.100000000000001</v>
      </c>
      <c r="F364" s="2">
        <v>7</v>
      </c>
    </row>
    <row r="365" spans="2:6">
      <c r="B365" s="2"/>
      <c r="C365" s="3">
        <v>363</v>
      </c>
      <c r="D365" s="32" t="s">
        <v>159</v>
      </c>
      <c r="E365" s="2">
        <v>20.030000000000005</v>
      </c>
      <c r="F365" s="2">
        <v>7</v>
      </c>
    </row>
    <row r="366" spans="2:6">
      <c r="B366" s="2"/>
      <c r="C366" s="3">
        <v>364</v>
      </c>
      <c r="D366" s="32" t="s">
        <v>160</v>
      </c>
      <c r="E366" s="2">
        <v>24.68</v>
      </c>
      <c r="F366" s="2">
        <v>7</v>
      </c>
    </row>
    <row r="367" spans="2:6">
      <c r="B367" s="2"/>
      <c r="C367" s="3">
        <v>365</v>
      </c>
      <c r="D367" s="32" t="s">
        <v>44</v>
      </c>
      <c r="E367" s="2">
        <v>17.639999999999997</v>
      </c>
      <c r="F367" s="2">
        <v>7</v>
      </c>
    </row>
    <row r="368" spans="2:6">
      <c r="B368" s="2"/>
      <c r="C368" s="3">
        <v>366</v>
      </c>
      <c r="D368" s="32" t="s">
        <v>45</v>
      </c>
      <c r="E368" s="2">
        <v>22.95</v>
      </c>
      <c r="F368" s="2">
        <v>7</v>
      </c>
    </row>
    <row r="369" spans="2:6">
      <c r="B369" s="2"/>
      <c r="C369" s="3">
        <v>367</v>
      </c>
      <c r="D369" s="32" t="s">
        <v>46</v>
      </c>
      <c r="E369" s="2">
        <v>18.260000000000002</v>
      </c>
      <c r="F369" s="2">
        <v>7</v>
      </c>
    </row>
    <row r="370" spans="2:6">
      <c r="B370" s="2"/>
      <c r="C370" s="3">
        <v>368</v>
      </c>
      <c r="D370" s="32" t="s">
        <v>47</v>
      </c>
      <c r="E370" s="2">
        <v>14.059999999999999</v>
      </c>
      <c r="F370" s="2">
        <v>7</v>
      </c>
    </row>
    <row r="371" spans="2:6">
      <c r="B371" s="2"/>
      <c r="C371" s="3">
        <v>369</v>
      </c>
      <c r="D371" s="32" t="s">
        <v>48</v>
      </c>
      <c r="E371" s="2">
        <v>20.37</v>
      </c>
      <c r="F371" s="2">
        <v>7</v>
      </c>
    </row>
    <row r="372" spans="2:6">
      <c r="B372" s="2"/>
      <c r="C372" s="3">
        <v>370</v>
      </c>
      <c r="D372" s="32" t="s">
        <v>49</v>
      </c>
      <c r="E372" s="2">
        <v>23.12</v>
      </c>
      <c r="F372" s="2">
        <v>7</v>
      </c>
    </row>
    <row r="373" spans="2:6">
      <c r="B373" s="2"/>
      <c r="C373" s="3">
        <v>371</v>
      </c>
      <c r="D373" s="31" t="s">
        <v>50</v>
      </c>
      <c r="E373" s="2">
        <v>12.41</v>
      </c>
      <c r="F373" s="2">
        <v>7</v>
      </c>
    </row>
    <row r="374" spans="2:6">
      <c r="B374" s="2"/>
      <c r="C374" s="3">
        <v>372</v>
      </c>
      <c r="D374" s="31" t="s">
        <v>51</v>
      </c>
      <c r="E374" s="2">
        <v>14.139999999999999</v>
      </c>
      <c r="F374" s="2">
        <v>7</v>
      </c>
    </row>
    <row r="375" spans="2:6">
      <c r="B375" s="2"/>
      <c r="C375" s="3">
        <v>373</v>
      </c>
      <c r="D375" s="31" t="s">
        <v>52</v>
      </c>
      <c r="E375" s="2">
        <v>18.149999999999999</v>
      </c>
      <c r="F375" s="2">
        <v>7</v>
      </c>
    </row>
    <row r="376" spans="2:6">
      <c r="B376" s="2"/>
      <c r="C376" s="3">
        <v>374</v>
      </c>
      <c r="D376" s="31" t="s">
        <v>53</v>
      </c>
      <c r="E376" s="2">
        <v>11.600000000000001</v>
      </c>
      <c r="F376" s="2">
        <v>7</v>
      </c>
    </row>
    <row r="377" spans="2:6">
      <c r="B377" s="2"/>
      <c r="C377" s="3">
        <v>375</v>
      </c>
      <c r="D377" s="32" t="s">
        <v>54</v>
      </c>
      <c r="E377" s="2">
        <v>12.86</v>
      </c>
      <c r="F377" s="2">
        <v>7</v>
      </c>
    </row>
    <row r="378" spans="2:6">
      <c r="B378" s="2"/>
      <c r="C378" s="3">
        <v>376</v>
      </c>
      <c r="D378" s="32" t="s">
        <v>55</v>
      </c>
      <c r="E378" s="2">
        <v>13.620000000000001</v>
      </c>
      <c r="F378" s="2">
        <v>7</v>
      </c>
    </row>
    <row r="379" spans="2:6">
      <c r="B379" s="2"/>
      <c r="C379" s="3">
        <v>377</v>
      </c>
      <c r="D379" s="31" t="s">
        <v>56</v>
      </c>
      <c r="E379" s="2">
        <v>10.19</v>
      </c>
      <c r="F379" s="2">
        <v>7</v>
      </c>
    </row>
    <row r="380" spans="2:6">
      <c r="B380" s="2"/>
      <c r="C380" s="3">
        <v>378</v>
      </c>
      <c r="D380" s="31" t="s">
        <v>57</v>
      </c>
      <c r="E380" s="2">
        <v>17.41</v>
      </c>
      <c r="F380" s="2">
        <v>7</v>
      </c>
    </row>
    <row r="381" spans="2:6">
      <c r="B381" s="2"/>
      <c r="C381" s="3">
        <v>379</v>
      </c>
      <c r="D381" s="31" t="s">
        <v>58</v>
      </c>
      <c r="E381" s="2">
        <v>9.41</v>
      </c>
      <c r="F381" s="2">
        <v>7</v>
      </c>
    </row>
    <row r="382" spans="2:6">
      <c r="B382" s="2"/>
      <c r="C382" s="3">
        <v>380</v>
      </c>
      <c r="D382" s="32" t="s">
        <v>59</v>
      </c>
      <c r="E382" s="2">
        <v>11.21</v>
      </c>
      <c r="F382" s="2">
        <v>7</v>
      </c>
    </row>
    <row r="383" spans="2:6">
      <c r="B383" s="2"/>
      <c r="C383" s="3">
        <v>381</v>
      </c>
      <c r="D383" s="32" t="s">
        <v>60</v>
      </c>
      <c r="E383" s="2">
        <v>10.959999999999999</v>
      </c>
      <c r="F383" s="2">
        <v>7</v>
      </c>
    </row>
    <row r="384" spans="2:6">
      <c r="B384" s="2"/>
      <c r="C384" s="3">
        <v>382</v>
      </c>
      <c r="D384" s="31" t="s">
        <v>61</v>
      </c>
      <c r="E384" s="2">
        <v>27.839999999999996</v>
      </c>
      <c r="F384" s="2">
        <v>3</v>
      </c>
    </row>
    <row r="385" spans="2:6">
      <c r="B385" s="2"/>
      <c r="C385" s="3">
        <v>383</v>
      </c>
      <c r="D385" s="32" t="s">
        <v>62</v>
      </c>
      <c r="E385" s="2">
        <v>21.01</v>
      </c>
      <c r="F385" s="2">
        <v>3</v>
      </c>
    </row>
    <row r="386" spans="2:6">
      <c r="B386" s="2"/>
      <c r="C386" s="3">
        <v>384</v>
      </c>
      <c r="D386" s="32" t="s">
        <v>63</v>
      </c>
      <c r="E386" s="2">
        <v>33.730000000000004</v>
      </c>
      <c r="F386" s="2">
        <v>3</v>
      </c>
    </row>
    <row r="387" spans="2:6">
      <c r="B387" s="2"/>
      <c r="C387" s="3">
        <v>385</v>
      </c>
      <c r="D387" s="34" t="s">
        <v>64</v>
      </c>
      <c r="E387" s="2">
        <v>16</v>
      </c>
      <c r="F387" s="2">
        <v>9.6</v>
      </c>
    </row>
    <row r="388" spans="2:6">
      <c r="B388" s="2"/>
      <c r="C388" s="2">
        <v>386</v>
      </c>
      <c r="D388" s="2"/>
      <c r="E388" s="2"/>
      <c r="F388" s="2"/>
    </row>
  </sheetData>
  <sheetProtection password="CC5C" sheet="1" objects="1" scenarios="1"/>
  <customSheetViews>
    <customSheetView guid="{21300D53-AFA3-488E-A98B-4772AFCC0BD2}">
      <selection activeCell="B53" sqref="B53"/>
    </customSheetView>
    <customSheetView guid="{EA60625F-3B45-4C74-B661-51EFBE97F615}" topLeftCell="A377">
      <selection activeCell="B30" sqref="B30:K36"/>
    </customSheetView>
  </customSheetView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CAx Table</vt:lpstr>
      <vt:lpstr>Cax Graph</vt:lpstr>
      <vt:lpstr>Crop Table</vt:lpstr>
    </vt:vector>
  </TitlesOfParts>
  <Company>University Communications &amp; Marketing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Sholedice</dc:creator>
  <cp:lastModifiedBy>Frank Sholedice</cp:lastModifiedBy>
  <cp:lastPrinted>2009-11-02T21:04:21Z</cp:lastPrinted>
  <dcterms:created xsi:type="dcterms:W3CDTF">2009-10-26T16:30:51Z</dcterms:created>
  <dcterms:modified xsi:type="dcterms:W3CDTF">2009-11-23T15:21:13Z</dcterms:modified>
</cp:coreProperties>
</file>